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61" activeTab="2"/>
  </bookViews>
  <sheets>
    <sheet name="Partnerships" sheetId="18" r:id="rId1"/>
    <sheet name="Peak Sales" sheetId="16" r:id="rId2"/>
    <sheet name="PT" sheetId="17" r:id="rId3"/>
    <sheet name="Catalysts" sheetId="20" r:id="rId4"/>
    <sheet name="Dilution History" sheetId="21" r:id="rId5"/>
  </sheets>
  <calcPr calcId="144525"/>
</workbook>
</file>

<file path=xl/comments1.xml><?xml version="1.0" encoding="utf-8"?>
<comments xmlns="http://schemas.openxmlformats.org/spreadsheetml/2006/main">
  <authors>
    <author>frank</author>
  </authors>
  <commentList>
    <comment ref="J3" authorId="0">
      <text>
        <r>
          <rPr>
            <b/>
            <sz val="9"/>
            <color rgb="FF000000"/>
            <rFont val="宋体"/>
            <charset val="134"/>
          </rPr>
          <t xml:space="preserve">peipei:
</t>
        </r>
        <r>
          <rPr>
            <sz val="9"/>
            <color rgb="FF000000"/>
            <rFont val="宋体"/>
            <charset val="134"/>
          </rPr>
          <t xml:space="preserve">https://seekingalpha.com/article/4184800-global-blood-seeks-accelerated-approval-light-hope-data
</t>
        </r>
      </text>
    </comment>
    <comment ref="G8" authorId="0">
      <text>
        <r>
          <rPr>
            <b/>
            <sz val="9"/>
            <color rgb="FF000000"/>
            <rFont val="宋体"/>
            <charset val="134"/>
          </rPr>
          <t xml:space="preserve">Peipei：
</t>
        </r>
        <r>
          <rPr>
            <sz val="9"/>
            <color rgb="FF000000"/>
            <rFont val="宋体"/>
            <charset val="134"/>
          </rPr>
          <t xml:space="preserve">https://seekingalpha.com/article/4233354-global-blood-therapeutics-continues-build-strong-case-successful-commercialization
</t>
        </r>
      </text>
    </comment>
  </commentList>
</comments>
</file>

<file path=xl/comments2.xml><?xml version="1.0" encoding="utf-8"?>
<comments xmlns="http://schemas.openxmlformats.org/spreadsheetml/2006/main">
  <authors>
    <author>frank</author>
    <author>wupeipei</author>
  </authors>
  <commentList>
    <comment ref="C13" authorId="0">
      <text>
        <r>
          <rPr>
            <b/>
            <sz val="9"/>
            <color rgb="FF000000"/>
            <rFont val="宋体"/>
            <charset val="134"/>
          </rPr>
          <t>Peipei:</t>
        </r>
        <r>
          <rPr>
            <sz val="9"/>
            <color rgb="FF000000"/>
            <rFont val="宋体"/>
            <charset val="134"/>
          </rPr>
          <t xml:space="preserve">
https://www.globenewswire.com/news-release/2019/08/07/1898671/0/en/GBT-Reports-Recent-Business-Progress-and-Second-Quarter-2019-Financial-Results.html</t>
        </r>
      </text>
    </comment>
    <comment ref="C14" authorId="1">
      <text>
        <r>
          <rPr>
            <b/>
            <sz val="9"/>
            <color rgb="FF000000"/>
            <rFont val="方正书宋_GBK"/>
            <charset val="134"/>
          </rPr>
          <t>wupeipei:</t>
        </r>
        <r>
          <rPr>
            <sz val="9"/>
            <color rgb="FF000000"/>
            <rFont val="方正书宋_GBK"/>
            <charset val="134"/>
          </rPr>
          <t xml:space="preserve">
50 Sales People
salary 175000
Adminstrating Cost: 25000
Total Cost   200000</t>
        </r>
      </text>
    </comment>
    <comment ref="B21" authorId="0">
      <text>
        <r>
          <rPr>
            <b/>
            <sz val="9"/>
            <rFont val="宋体"/>
            <charset val="134"/>
          </rPr>
          <t>Peipei:</t>
        </r>
        <r>
          <rPr>
            <sz val="9"/>
            <rFont val="宋体"/>
            <charset val="134"/>
          </rPr>
          <t xml:space="preserve">
on Page 91 of the 2018 10-k, there is a discussion of the NOL carryforwards (Federal $382M, State $152m).It will probably lower their tax rate to 21%,</t>
        </r>
      </text>
    </comment>
  </commentList>
</comments>
</file>

<file path=xl/comments3.xml><?xml version="1.0" encoding="utf-8"?>
<comments xmlns="http://schemas.openxmlformats.org/spreadsheetml/2006/main">
  <authors>
    <author>Peipei Wu</author>
    <author>frank</author>
  </authors>
  <commentList>
    <comment ref="D4" authorId="0">
      <text>
        <r>
          <rPr>
            <b/>
            <sz val="9"/>
            <color rgb="FF000000"/>
            <rFont val="Tahoma"/>
            <charset val="134"/>
          </rPr>
          <t>Peipei Wu:</t>
        </r>
        <r>
          <rPr>
            <sz val="9"/>
            <color rgb="FF000000"/>
            <rFont val="Tahoma"/>
            <charset val="134"/>
          </rPr>
          <t xml:space="preserve">
https://seekingalpha.com/article/4264205-global-blood-remains-track-transformational-year</t>
        </r>
      </text>
    </comment>
    <comment ref="D5" authorId="0">
      <text>
        <r>
          <rPr>
            <b/>
            <sz val="9"/>
            <rFont val="Tahoma"/>
            <charset val="134"/>
          </rPr>
          <t>Peipei Wu:</t>
        </r>
        <r>
          <rPr>
            <sz val="9"/>
            <rFont val="Tahoma"/>
            <charset val="134"/>
          </rPr>
          <t xml:space="preserve">
https://seekingalpha.com/article/4264205-global-blood-remains-track-transformational-year</t>
        </r>
      </text>
    </comment>
    <comment ref="D6" authorId="1">
      <text>
        <r>
          <rPr>
            <b/>
            <sz val="9"/>
            <rFont val="宋体"/>
            <charset val="134"/>
          </rPr>
          <t xml:space="preserve">Peipei：
</t>
        </r>
        <r>
          <rPr>
            <sz val="9"/>
            <rFont val="宋体"/>
            <charset val="134"/>
          </rPr>
          <t xml:space="preserve">https://seekingalpha.com/article/4278609-totality-voxelotor-phase-3-data-increases-conviction-global-blood-therapeutics
</t>
        </r>
      </text>
    </comment>
    <comment ref="D7" authorId="1">
      <text>
        <r>
          <rPr>
            <sz val="9"/>
            <rFont val="宋体"/>
            <charset val="134"/>
          </rPr>
          <t>Peipei：
https://seekingalpha.com/article/4278609-totality-voxelotor-phase-3-data-increases-conviction-global-blood-therapeutics</t>
        </r>
      </text>
    </comment>
    <comment ref="D8" authorId="1">
      <text>
        <r>
          <rPr>
            <b/>
            <sz val="9"/>
            <rFont val="宋体"/>
            <charset val="134"/>
          </rPr>
          <t xml:space="preserve">Peipei：
</t>
        </r>
        <r>
          <rPr>
            <sz val="9"/>
            <rFont val="宋体"/>
            <charset val="134"/>
          </rPr>
          <t>https://seekingalpha.com/article/4278609-totality-voxelotor-phase-3-data-increases-conviction-global-blood-therapeutics</t>
        </r>
      </text>
    </comment>
  </commentList>
</comments>
</file>

<file path=xl/sharedStrings.xml><?xml version="1.0" encoding="utf-8"?>
<sst xmlns="http://schemas.openxmlformats.org/spreadsheetml/2006/main" count="181" uniqueCount="122">
  <si>
    <t xml:space="preserve">AKBA </t>
  </si>
  <si>
    <t>Date Announced</t>
  </si>
  <si>
    <t>Commercial Name</t>
  </si>
  <si>
    <t>Drug Name</t>
  </si>
  <si>
    <t>Territory</t>
  </si>
  <si>
    <t>Partner</t>
  </si>
  <si>
    <t>Partner Relationship</t>
  </si>
  <si>
    <t>Upfront Payment</t>
  </si>
  <si>
    <t>Potential Deveopment Milestones</t>
  </si>
  <si>
    <t>Development Milestones Received</t>
  </si>
  <si>
    <t>Potential Regulatory Milestones</t>
  </si>
  <si>
    <t>Regulatory Milestones Received</t>
  </si>
  <si>
    <t>Potential Commercial Milestones</t>
  </si>
  <si>
    <t>Commercial Milestones Received</t>
  </si>
  <si>
    <t>Royalty</t>
  </si>
  <si>
    <t>Notes</t>
  </si>
  <si>
    <t>GLOSSARY</t>
  </si>
  <si>
    <t>GBT</t>
  </si>
  <si>
    <t>US</t>
  </si>
  <si>
    <t>Probability Of Approval</t>
  </si>
  <si>
    <t>EU</t>
  </si>
  <si>
    <t>Voxelotor</t>
  </si>
  <si>
    <t>Indication</t>
  </si>
  <si>
    <t>Sickle Cell Diease</t>
  </si>
  <si>
    <t>Status</t>
  </si>
  <si>
    <t>Waiting for FDA to be Aproved</t>
  </si>
  <si>
    <t xml:space="preserve"> EHA(European Hematology Association ) Supporting Voxelotor Sickle Cell Disease Program</t>
  </si>
  <si>
    <t>Market Share</t>
  </si>
  <si>
    <t>Commercial Probability</t>
  </si>
  <si>
    <t>Approval-Adjusted Probability</t>
  </si>
  <si>
    <t>Patient Pool</t>
  </si>
  <si>
    <t>Patients Treated</t>
  </si>
  <si>
    <t>Annual List Price</t>
  </si>
  <si>
    <t>Gross Sales</t>
  </si>
  <si>
    <t>Gross-to-Net Reduction</t>
  </si>
  <si>
    <t>Net Sales</t>
  </si>
  <si>
    <t>Check</t>
  </si>
  <si>
    <t>Expected Peak Net Sales</t>
  </si>
  <si>
    <t>Expected Peak Royalty Revs</t>
  </si>
  <si>
    <t xml:space="preserve">   Peak sales</t>
  </si>
  <si>
    <t xml:space="preserve">   Royalty revs</t>
  </si>
  <si>
    <t>Total revs</t>
  </si>
  <si>
    <t xml:space="preserve">   COGS</t>
  </si>
  <si>
    <t xml:space="preserve">   Gross margin</t>
  </si>
  <si>
    <t>Gross profit</t>
  </si>
  <si>
    <t>OpEX</t>
  </si>
  <si>
    <t>R&amp;D</t>
  </si>
  <si>
    <t>SGA</t>
  </si>
  <si>
    <t>Total OpEX</t>
  </si>
  <si>
    <t>EBIT</t>
  </si>
  <si>
    <t>Other income (expense)</t>
  </si>
  <si>
    <t xml:space="preserve">   Interest income, net</t>
  </si>
  <si>
    <t>Total other income (expense)</t>
  </si>
  <si>
    <t>Pretax income</t>
  </si>
  <si>
    <t xml:space="preserve">   Tax rate</t>
  </si>
  <si>
    <t xml:space="preserve">   Less: tax</t>
  </si>
  <si>
    <t>Net income</t>
  </si>
  <si>
    <t xml:space="preserve">   Net income margin</t>
  </si>
  <si>
    <t xml:space="preserve">   Target P/E (x)</t>
  </si>
  <si>
    <t>Value of drug by territory</t>
  </si>
  <si>
    <t>Total value of</t>
  </si>
  <si>
    <t>2019 ESTIMATES</t>
  </si>
  <si>
    <t>2020 ESTIMATES</t>
  </si>
  <si>
    <t>Total value</t>
  </si>
  <si>
    <t>Consensus</t>
  </si>
  <si>
    <t>Low</t>
  </si>
  <si>
    <t>High</t>
  </si>
  <si>
    <t># Analysts</t>
  </si>
  <si>
    <t>Diluted mkt cap</t>
  </si>
  <si>
    <t>Upside</t>
  </si>
  <si>
    <t/>
  </si>
  <si>
    <t>Current price</t>
  </si>
  <si>
    <t>PT</t>
  </si>
  <si>
    <t>Diluted Market Cap Calculation</t>
  </si>
  <si>
    <t>Date</t>
  </si>
  <si>
    <t>Diluted WASO</t>
  </si>
  <si>
    <t>Reported mkt cap</t>
  </si>
  <si>
    <t>SHARES EXCLUDED FROM DILUTED SHARE COUNT</t>
  </si>
  <si>
    <t># shares</t>
  </si>
  <si>
    <t>Weighted Avg Exercise Price</t>
  </si>
  <si>
    <t>Include in diluted market cap?</t>
  </si>
  <si>
    <t>Options (expired)</t>
  </si>
  <si>
    <t>Y</t>
  </si>
  <si>
    <t>1 warrant (to purchase 84.5M)</t>
  </si>
  <si>
    <t>N</t>
  </si>
  <si>
    <t>RSAs</t>
  </si>
  <si>
    <t>RSUs</t>
  </si>
  <si>
    <t>Performance unit</t>
  </si>
  <si>
    <t>TOTAL ADDITIONAL SHARES</t>
  </si>
  <si>
    <t>Total diluted share count</t>
  </si>
  <si>
    <t>Diluted market cap</t>
  </si>
  <si>
    <t>Event</t>
  </si>
  <si>
    <t>Source</t>
  </si>
  <si>
    <t>Drug</t>
  </si>
  <si>
    <t>Probability Of Success</t>
  </si>
  <si>
    <t>Estimated Move</t>
  </si>
  <si>
    <t>2H 2019</t>
  </si>
  <si>
    <t>NDA Acceptance</t>
  </si>
  <si>
    <t>Global Blood Remains On Track For Transformational Year</t>
  </si>
  <si>
    <r>
      <rPr>
        <sz val="11.4"/>
        <color rgb="FF565656"/>
        <rFont val="Helvetica"/>
        <charset val="134"/>
      </rPr>
      <t>Voxelotor</t>
    </r>
    <r>
      <rPr>
        <sz val="11.4"/>
        <color rgb="FF565656"/>
        <rFont val="Helvetica"/>
        <charset val="134"/>
      </rPr>
      <t> </t>
    </r>
  </si>
  <si>
    <t>NA</t>
  </si>
  <si>
    <t>+/- 5%</t>
  </si>
  <si>
    <t>HOPE Study publication</t>
  </si>
  <si>
    <t>1H 2020</t>
  </si>
  <si>
    <t>Priority review &amp; FDA approval</t>
  </si>
  <si>
    <t>The Totality Of Voxelotor Phase 3 Data Increases My Conviction In Global Blood Therapeutics</t>
  </si>
  <si>
    <t xml:space="preserve"> ICER pharmacoeconomical review </t>
  </si>
  <si>
    <t>2H  2020</t>
  </si>
  <si>
    <t>Voxelotor commercialization</t>
  </si>
  <si>
    <t>TGTX</t>
  </si>
  <si>
    <t>Shares Sold</t>
  </si>
  <si>
    <t>Offering Price</t>
  </si>
  <si>
    <t>Market Price</t>
  </si>
  <si>
    <t>Discount</t>
  </si>
  <si>
    <t>Gross Proceeds</t>
  </si>
  <si>
    <t>Liquidity Pre-Offering</t>
  </si>
  <si>
    <t>Liquidity Post-Offering</t>
  </si>
  <si>
    <t>Cash Burn At Offering</t>
  </si>
  <si>
    <t>Cash Runway Pre-Offering (qtrs)</t>
  </si>
  <si>
    <t>Cash Runway Pre-Offering (date)</t>
  </si>
  <si>
    <t>Management Cash Runway Pre-Offering</t>
  </si>
  <si>
    <t>Management Cash Runway Post-Offering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</si>
</sst>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26" formatCode="\$#,##0.00_);[Red]\(\$#,##0.00\)"/>
    <numFmt numFmtId="176" formatCode="\$#,##0&quot;M&quot;"/>
    <numFmt numFmtId="177" formatCode="#,##0.0&quot;M&quot;"/>
    <numFmt numFmtId="178" formatCode="&quot;$&quot;#,##0.00"/>
    <numFmt numFmtId="179" formatCode="&quot;$&quot;#,##0.0&quot;M&quot;"/>
    <numFmt numFmtId="180" formatCode="&quot;$&quot;#,##0.00&quot;M&quot;"/>
    <numFmt numFmtId="181" formatCode="&quot;$&quot;#,##0&quot;M&quot;"/>
    <numFmt numFmtId="182" formatCode="#,##0&quot;qtrs&quot;"/>
    <numFmt numFmtId="183" formatCode="&quot;$&quot;#,##0"/>
    <numFmt numFmtId="184" formatCode="0.0"/>
    <numFmt numFmtId="185" formatCode="0_);[Red]\(0\)"/>
    <numFmt numFmtId="186" formatCode="#,##0&quot;M&quot;"/>
  </numFmts>
  <fonts count="47">
    <font>
      <sz val="12"/>
      <color theme="1"/>
      <name val="Times"/>
      <charset val="134"/>
    </font>
    <font>
      <b/>
      <sz val="16"/>
      <color theme="1"/>
      <name val="Times"/>
      <charset val="134"/>
    </font>
    <font>
      <b/>
      <sz val="12"/>
      <color theme="1"/>
      <name val="Times"/>
      <charset val="134"/>
    </font>
    <font>
      <sz val="11.4"/>
      <color rgb="FF565656"/>
      <name val="Helvetica"/>
      <charset val="134"/>
    </font>
    <font>
      <sz val="10"/>
      <color rgb="FF000000"/>
      <name val="Times New Roman"/>
      <charset val="134"/>
    </font>
    <font>
      <i/>
      <sz val="12"/>
      <color theme="1"/>
      <name val="Times"/>
      <charset val="134"/>
    </font>
    <font>
      <sz val="12"/>
      <color theme="1"/>
      <name val="Times Roman"/>
      <charset val="134"/>
    </font>
    <font>
      <b/>
      <sz val="12"/>
      <color theme="1"/>
      <name val="Times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Times Roman"/>
      <charset val="134"/>
    </font>
    <font>
      <sz val="12"/>
      <color rgb="FF000000"/>
      <name val="Times Roman"/>
      <charset val="134"/>
    </font>
    <font>
      <u/>
      <sz val="12"/>
      <color theme="10"/>
      <name val="Times Roman"/>
      <charset val="134"/>
    </font>
    <font>
      <u/>
      <sz val="12"/>
      <color theme="10"/>
      <name val="Times"/>
      <charset val="134"/>
    </font>
    <font>
      <sz val="12"/>
      <name val="Times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Times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b/>
      <sz val="9"/>
      <color rgb="FF000000"/>
      <name val="方正书宋_GBK"/>
      <charset val="134"/>
    </font>
    <font>
      <b/>
      <sz val="9"/>
      <color rgb="FF000000"/>
      <name val="Tahoma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color rgb="FF000000"/>
      <name val="方正书宋_GBK"/>
      <charset val="134"/>
    </font>
    <font>
      <sz val="9"/>
      <color rgb="FF000000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13" borderId="16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9" fillId="25" borderId="19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0" fillId="16" borderId="18" applyNumberFormat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16" borderId="16" applyNumberFormat="0" applyAlignment="0" applyProtection="0">
      <alignment vertical="center"/>
    </xf>
    <xf numFmtId="0" fontId="35" fillId="34" borderId="2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3">
    <xf numFmtId="0" fontId="0" fillId="0" borderId="0" xfId="0"/>
    <xf numFmtId="0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8" fontId="0" fillId="0" borderId="0" xfId="0" applyNumberFormat="1" applyAlignment="1">
      <alignment horizontal="left"/>
    </xf>
    <xf numFmtId="9" fontId="0" fillId="0" borderId="0" xfId="11" applyFont="1" applyAlignment="1">
      <alignment horizontal="left"/>
    </xf>
    <xf numFmtId="179" fontId="0" fillId="0" borderId="0" xfId="0" applyNumberFormat="1" applyAlignment="1">
      <alignment horizontal="left"/>
    </xf>
    <xf numFmtId="181" fontId="0" fillId="0" borderId="0" xfId="0" applyNumberFormat="1" applyAlignment="1">
      <alignment horizontal="left"/>
    </xf>
    <xf numFmtId="182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11" applyNumberFormat="1" applyFont="1" applyAlignment="1">
      <alignment horizontal="left"/>
    </xf>
    <xf numFmtId="14" fontId="2" fillId="0" borderId="0" xfId="0" applyNumberFormat="1" applyFont="1" applyAlignment="1">
      <alignment horizontal="center" wrapText="1"/>
    </xf>
    <xf numFmtId="177" fontId="2" fillId="0" borderId="0" xfId="0" applyNumberFormat="1" applyFont="1" applyAlignment="1">
      <alignment horizontal="center" wrapText="1"/>
    </xf>
    <xf numFmtId="178" fontId="2" fillId="0" borderId="0" xfId="0" applyNumberFormat="1" applyFont="1" applyAlignment="1">
      <alignment horizontal="center" wrapText="1"/>
    </xf>
    <xf numFmtId="9" fontId="2" fillId="0" borderId="0" xfId="11" applyFont="1" applyAlignment="1">
      <alignment horizontal="center" wrapText="1"/>
    </xf>
    <xf numFmtId="179" fontId="2" fillId="0" borderId="0" xfId="0" applyNumberFormat="1" applyFont="1" applyAlignment="1">
      <alignment horizontal="center" wrapText="1"/>
    </xf>
    <xf numFmtId="181" fontId="2" fillId="0" borderId="0" xfId="0" applyNumberFormat="1" applyFont="1" applyAlignment="1">
      <alignment horizontal="center" wrapText="1"/>
    </xf>
    <xf numFmtId="182" fontId="2" fillId="0" borderId="0" xfId="0" applyNumberFormat="1" applyFont="1" applyAlignment="1">
      <alignment horizontal="center" wrapText="1"/>
    </xf>
    <xf numFmtId="184" fontId="0" fillId="0" borderId="0" xfId="0" applyNumberFormat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9" fontId="0" fillId="0" borderId="0" xfId="11" applyFont="1" applyBorder="1" applyAlignment="1">
      <alignment horizontal="right" indent="1"/>
    </xf>
    <xf numFmtId="49" fontId="0" fillId="0" borderId="0" xfId="0" applyNumberFormat="1" applyBorder="1" applyAlignment="1">
      <alignment horizontal="right" indent="1"/>
    </xf>
    <xf numFmtId="0" fontId="1" fillId="2" borderId="0" xfId="0" applyNumberFormat="1" applyFont="1" applyFill="1" applyBorder="1" applyAlignment="1">
      <alignment horizontal="left"/>
    </xf>
    <xf numFmtId="0" fontId="1" fillId="2" borderId="0" xfId="11" applyNumberFormat="1" applyFont="1" applyFill="1" applyBorder="1" applyAlignment="1">
      <alignment horizontal="right" indent="1"/>
    </xf>
    <xf numFmtId="49" fontId="1" fillId="2" borderId="0" xfId="0" applyNumberFormat="1" applyFont="1" applyFill="1" applyBorder="1" applyAlignment="1">
      <alignment horizontal="right" inden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9" fontId="2" fillId="3" borderId="2" xfId="1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9" fontId="2" fillId="3" borderId="0" xfId="1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9" fontId="0" fillId="2" borderId="0" xfId="11" applyFon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2" borderId="4" xfId="0" applyFill="1" applyBorder="1" applyAlignment="1">
      <alignment horizontal="left" vertical="center"/>
    </xf>
    <xf numFmtId="0" fontId="4" fillId="2" borderId="0" xfId="0" applyFont="1" applyFill="1" applyBorder="1" applyAlignment="1">
      <alignment wrapText="1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9" fontId="0" fillId="2" borderId="7" xfId="11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81" fontId="1" fillId="0" borderId="0" xfId="0" applyNumberFormat="1" applyFont="1" applyAlignment="1">
      <alignment horizontal="right" indent="1"/>
    </xf>
    <xf numFmtId="181" fontId="2" fillId="0" borderId="0" xfId="0" applyNumberFormat="1" applyFont="1" applyAlignment="1">
      <alignment horizontal="right" indent="1"/>
    </xf>
    <xf numFmtId="9" fontId="5" fillId="0" borderId="0" xfId="11" applyNumberFormat="1" applyFont="1" applyAlignment="1">
      <alignment horizontal="right" indent="1"/>
    </xf>
    <xf numFmtId="9" fontId="0" fillId="0" borderId="0" xfId="11" applyFont="1" applyAlignment="1">
      <alignment horizontal="right" indent="1"/>
    </xf>
    <xf numFmtId="185" fontId="0" fillId="0" borderId="0" xfId="0" applyNumberFormat="1" applyAlignment="1">
      <alignment horizontal="right" indent="1"/>
    </xf>
    <xf numFmtId="178" fontId="0" fillId="0" borderId="0" xfId="0" applyNumberFormat="1" applyAlignment="1">
      <alignment horizontal="right" indent="1"/>
    </xf>
    <xf numFmtId="181" fontId="6" fillId="4" borderId="0" xfId="0" applyNumberFormat="1" applyFont="1" applyFill="1" applyAlignment="1">
      <alignment horizontal="right" indent="1"/>
    </xf>
    <xf numFmtId="181" fontId="6" fillId="0" borderId="0" xfId="0" applyNumberFormat="1" applyFont="1" applyAlignment="1">
      <alignment horizontal="right" indent="1"/>
    </xf>
    <xf numFmtId="181" fontId="6" fillId="0" borderId="0" xfId="0" applyNumberFormat="1" applyFont="1" applyAlignment="1">
      <alignment horizontal="center" wrapText="1"/>
    </xf>
    <xf numFmtId="181" fontId="7" fillId="0" borderId="0" xfId="0" applyNumberFormat="1" applyFont="1" applyAlignment="1">
      <alignment horizontal="right" indent="1"/>
    </xf>
    <xf numFmtId="181" fontId="0" fillId="2" borderId="0" xfId="0" applyNumberFormat="1" applyFill="1" applyAlignment="1">
      <alignment horizontal="right" indent="1"/>
    </xf>
    <xf numFmtId="3" fontId="0" fillId="0" borderId="0" xfId="0" applyNumberFormat="1" applyAlignment="1"/>
    <xf numFmtId="181" fontId="0" fillId="0" borderId="0" xfId="0" applyNumberFormat="1" applyAlignment="1">
      <alignment horizontal="right" indent="1"/>
    </xf>
    <xf numFmtId="181" fontId="1" fillId="2" borderId="0" xfId="0" applyNumberFormat="1" applyFont="1" applyFill="1" applyAlignment="1">
      <alignment horizontal="right" indent="1"/>
    </xf>
    <xf numFmtId="3" fontId="1" fillId="2" borderId="0" xfId="0" applyNumberFormat="1" applyFont="1" applyFill="1" applyAlignment="1"/>
    <xf numFmtId="3" fontId="0" fillId="2" borderId="0" xfId="0" applyNumberFormat="1" applyFill="1" applyAlignment="1"/>
    <xf numFmtId="181" fontId="2" fillId="2" borderId="0" xfId="0" applyNumberFormat="1" applyFont="1" applyFill="1" applyAlignment="1">
      <alignment horizontal="right" indent="1"/>
    </xf>
    <xf numFmtId="176" fontId="2" fillId="2" borderId="1" xfId="0" applyNumberFormat="1" applyFont="1" applyFill="1" applyBorder="1" applyAlignment="1"/>
    <xf numFmtId="176" fontId="2" fillId="2" borderId="2" xfId="0" applyNumberFormat="1" applyFont="1" applyFill="1" applyBorder="1" applyAlignment="1">
      <alignment horizontal="center"/>
    </xf>
    <xf numFmtId="176" fontId="2" fillId="2" borderId="3" xfId="0" applyNumberFormat="1" applyFont="1" applyFill="1" applyBorder="1" applyAlignment="1">
      <alignment horizontal="center"/>
    </xf>
    <xf numFmtId="3" fontId="2" fillId="0" borderId="0" xfId="0" applyNumberFormat="1" applyFont="1" applyAlignment="1"/>
    <xf numFmtId="176" fontId="2" fillId="2" borderId="4" xfId="0" applyNumberFormat="1" applyFont="1" applyFill="1" applyBorder="1" applyAlignment="1"/>
    <xf numFmtId="176" fontId="2" fillId="2" borderId="0" xfId="0" applyNumberFormat="1" applyFont="1" applyFill="1" applyBorder="1" applyAlignment="1">
      <alignment horizontal="center"/>
    </xf>
    <xf numFmtId="176" fontId="2" fillId="2" borderId="5" xfId="0" applyNumberFormat="1" applyFont="1" applyFill="1" applyBorder="1" applyAlignment="1">
      <alignment horizontal="center"/>
    </xf>
    <xf numFmtId="181" fontId="0" fillId="0" borderId="0" xfId="0" applyNumberFormat="1" applyFont="1" applyAlignment="1">
      <alignment horizontal="center"/>
    </xf>
    <xf numFmtId="176" fontId="0" fillId="2" borderId="4" xfId="0" applyNumberFormat="1" applyFill="1" applyBorder="1" applyAlignment="1"/>
    <xf numFmtId="176" fontId="0" fillId="2" borderId="0" xfId="0" applyNumberFormat="1" applyFill="1" applyBorder="1" applyAlignment="1">
      <alignment horizontal="right" indent="1"/>
    </xf>
    <xf numFmtId="176" fontId="0" fillId="2" borderId="5" xfId="0" applyNumberFormat="1" applyFill="1" applyBorder="1" applyAlignment="1">
      <alignment horizontal="right" indent="1"/>
    </xf>
    <xf numFmtId="181" fontId="0" fillId="0" borderId="0" xfId="0" applyNumberFormat="1" applyBorder="1" applyAlignment="1">
      <alignment horizontal="right" indent="1"/>
    </xf>
    <xf numFmtId="176" fontId="2" fillId="2" borderId="0" xfId="0" applyNumberFormat="1" applyFont="1" applyFill="1" applyBorder="1" applyAlignment="1">
      <alignment horizontal="right" indent="1"/>
    </xf>
    <xf numFmtId="176" fontId="2" fillId="2" borderId="5" xfId="0" applyNumberFormat="1" applyFont="1" applyFill="1" applyBorder="1" applyAlignment="1">
      <alignment horizontal="right" indent="1"/>
    </xf>
    <xf numFmtId="181" fontId="2" fillId="0" borderId="0" xfId="0" applyNumberFormat="1" applyFont="1" applyBorder="1" applyAlignment="1">
      <alignment horizontal="right" indent="1"/>
    </xf>
    <xf numFmtId="9" fontId="5" fillId="2" borderId="0" xfId="11" applyNumberFormat="1" applyFont="1" applyFill="1" applyAlignment="1">
      <alignment horizontal="right" indent="1"/>
    </xf>
    <xf numFmtId="9" fontId="5" fillId="2" borderId="4" xfId="11" applyNumberFormat="1" applyFont="1" applyFill="1" applyBorder="1" applyAlignment="1"/>
    <xf numFmtId="9" fontId="5" fillId="2" borderId="9" xfId="11" applyNumberFormat="1" applyFont="1" applyFill="1" applyBorder="1" applyAlignment="1">
      <alignment horizontal="right" indent="1"/>
    </xf>
    <xf numFmtId="9" fontId="5" fillId="2" borderId="10" xfId="11" applyNumberFormat="1" applyFont="1" applyFill="1" applyBorder="1" applyAlignment="1">
      <alignment horizontal="right" indent="1"/>
    </xf>
    <xf numFmtId="9" fontId="5" fillId="0" borderId="0" xfId="11" applyNumberFormat="1" applyFont="1" applyBorder="1" applyAlignment="1">
      <alignment horizontal="right" indent="1"/>
    </xf>
    <xf numFmtId="9" fontId="5" fillId="0" borderId="0" xfId="11" applyNumberFormat="1" applyFont="1" applyAlignment="1"/>
    <xf numFmtId="176" fontId="0" fillId="2" borderId="4" xfId="0" applyNumberFormat="1" applyFont="1" applyFill="1" applyBorder="1" applyAlignment="1"/>
    <xf numFmtId="176" fontId="0" fillId="2" borderId="0" xfId="0" applyNumberFormat="1" applyFont="1" applyFill="1" applyBorder="1" applyAlignment="1">
      <alignment horizontal="center"/>
    </xf>
    <xf numFmtId="176" fontId="0" fillId="2" borderId="5" xfId="0" applyNumberFormat="1" applyFont="1" applyFill="1" applyBorder="1" applyAlignment="1">
      <alignment horizontal="right" indent="1"/>
    </xf>
    <xf numFmtId="176" fontId="8" fillId="2" borderId="9" xfId="0" applyNumberFormat="1" applyFont="1" applyFill="1" applyBorder="1" applyAlignment="1">
      <alignment horizontal="center"/>
    </xf>
    <xf numFmtId="176" fontId="0" fillId="2" borderId="10" xfId="0" applyNumberFormat="1" applyFont="1" applyFill="1" applyBorder="1" applyAlignment="1">
      <alignment horizontal="right" indent="1"/>
    </xf>
    <xf numFmtId="176" fontId="9" fillId="2" borderId="9" xfId="4" applyNumberFormat="1" applyFont="1" applyFill="1" applyBorder="1" applyAlignment="1">
      <alignment horizontal="center"/>
    </xf>
    <xf numFmtId="176" fontId="2" fillId="2" borderId="10" xfId="0" applyNumberFormat="1" applyFont="1" applyFill="1" applyBorder="1" applyAlignment="1">
      <alignment horizontal="right" indent="1"/>
    </xf>
    <xf numFmtId="176" fontId="8" fillId="2" borderId="0" xfId="0" applyNumberFormat="1" applyFont="1" applyFill="1" applyBorder="1" applyAlignment="1">
      <alignment horizontal="center"/>
    </xf>
    <xf numFmtId="176" fontId="7" fillId="2" borderId="4" xfId="0" applyNumberFormat="1" applyFont="1" applyFill="1" applyBorder="1" applyAlignment="1"/>
    <xf numFmtId="176" fontId="6" fillId="2" borderId="4" xfId="0" applyNumberFormat="1" applyFont="1" applyFill="1" applyBorder="1" applyAlignment="1"/>
    <xf numFmtId="9" fontId="0" fillId="2" borderId="0" xfId="11" applyFont="1" applyFill="1" applyAlignment="1">
      <alignment horizontal="right" indent="1"/>
    </xf>
    <xf numFmtId="9" fontId="5" fillId="2" borderId="4" xfId="11" applyFont="1" applyFill="1" applyBorder="1" applyAlignment="1"/>
    <xf numFmtId="9" fontId="5" fillId="2" borderId="0" xfId="11" applyFont="1" applyFill="1" applyBorder="1" applyAlignment="1">
      <alignment horizontal="right" indent="1"/>
    </xf>
    <xf numFmtId="9" fontId="0" fillId="2" borderId="5" xfId="11" applyFont="1" applyFill="1" applyBorder="1" applyAlignment="1">
      <alignment horizontal="right" indent="1"/>
    </xf>
    <xf numFmtId="9" fontId="5" fillId="0" borderId="0" xfId="11" applyFont="1" applyBorder="1" applyAlignment="1">
      <alignment horizontal="right" indent="1"/>
    </xf>
    <xf numFmtId="9" fontId="5" fillId="0" borderId="0" xfId="11" applyFont="1" applyAlignment="1"/>
    <xf numFmtId="178" fontId="0" fillId="0" borderId="0" xfId="0" applyNumberFormat="1" applyBorder="1" applyAlignment="1">
      <alignment horizontal="right" indent="1"/>
    </xf>
    <xf numFmtId="176" fontId="2" fillId="2" borderId="9" xfId="0" applyNumberFormat="1" applyFont="1" applyFill="1" applyBorder="1" applyAlignment="1">
      <alignment horizontal="right" indent="1"/>
    </xf>
    <xf numFmtId="9" fontId="5" fillId="2" borderId="5" xfId="11" applyFont="1" applyFill="1" applyBorder="1" applyAlignment="1">
      <alignment horizontal="right" indent="1"/>
    </xf>
    <xf numFmtId="185" fontId="0" fillId="2" borderId="0" xfId="0" applyNumberFormat="1" applyFill="1" applyAlignment="1">
      <alignment horizontal="right" indent="1"/>
    </xf>
    <xf numFmtId="185" fontId="0" fillId="2" borderId="4" xfId="0" applyNumberFormat="1" applyFill="1" applyBorder="1" applyAlignment="1"/>
    <xf numFmtId="185" fontId="0" fillId="2" borderId="0" xfId="0" applyNumberFormat="1" applyFill="1" applyBorder="1" applyAlignment="1">
      <alignment horizontal="right" indent="1"/>
    </xf>
    <xf numFmtId="185" fontId="0" fillId="2" borderId="5" xfId="0" applyNumberFormat="1" applyFill="1" applyBorder="1" applyAlignment="1">
      <alignment horizontal="right" indent="1"/>
    </xf>
    <xf numFmtId="185" fontId="0" fillId="0" borderId="0" xfId="0" applyNumberFormat="1" applyBorder="1" applyAlignment="1">
      <alignment horizontal="right" indent="1"/>
    </xf>
    <xf numFmtId="185" fontId="0" fillId="0" borderId="0" xfId="0" applyNumberFormat="1" applyAlignment="1"/>
    <xf numFmtId="176" fontId="2" fillId="2" borderId="11" xfId="0" applyNumberFormat="1" applyFont="1" applyFill="1" applyBorder="1" applyAlignment="1"/>
    <xf numFmtId="3" fontId="2" fillId="3" borderId="0" xfId="0" applyNumberFormat="1" applyFont="1" applyFill="1" applyAlignment="1">
      <alignment horizontal="left"/>
    </xf>
    <xf numFmtId="181" fontId="2" fillId="3" borderId="0" xfId="0" applyNumberFormat="1" applyFont="1" applyFill="1" applyAlignment="1">
      <alignment horizontal="center"/>
    </xf>
    <xf numFmtId="181" fontId="2" fillId="0" borderId="0" xfId="0" applyNumberFormat="1" applyFont="1" applyAlignment="1">
      <alignment horizontal="center"/>
    </xf>
    <xf numFmtId="181" fontId="2" fillId="3" borderId="0" xfId="0" applyNumberFormat="1" applyFont="1" applyFill="1" applyAlignment="1">
      <alignment horizontal="right" indent="1"/>
    </xf>
    <xf numFmtId="181" fontId="0" fillId="5" borderId="0" xfId="0" applyNumberFormat="1" applyFill="1" applyAlignment="1">
      <alignment horizontal="right" indent="1"/>
    </xf>
    <xf numFmtId="178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9" fontId="0" fillId="0" borderId="0" xfId="11" applyFont="1" applyAlignment="1"/>
    <xf numFmtId="9" fontId="0" fillId="0" borderId="0" xfId="11" applyFont="1" applyAlignment="1">
      <alignment horizontal="center"/>
    </xf>
    <xf numFmtId="178" fontId="0" fillId="0" borderId="0" xfId="0" applyNumberFormat="1" applyAlignment="1"/>
    <xf numFmtId="26" fontId="0" fillId="5" borderId="0" xfId="0" applyNumberFormat="1" applyFill="1" applyAlignment="1">
      <alignment horizontal="right" indent="1"/>
    </xf>
    <xf numFmtId="178" fontId="0" fillId="2" borderId="0" xfId="0" applyNumberFormat="1" applyFill="1" applyAlignment="1">
      <alignment horizontal="right" indent="1"/>
    </xf>
    <xf numFmtId="181" fontId="6" fillId="2" borderId="0" xfId="0" applyNumberFormat="1" applyFont="1" applyFill="1" applyAlignment="1">
      <alignment horizontal="right" indent="1"/>
    </xf>
    <xf numFmtId="3" fontId="10" fillId="4" borderId="0" xfId="0" applyNumberFormat="1" applyFont="1" applyFill="1" applyAlignment="1"/>
    <xf numFmtId="3" fontId="11" fillId="0" borderId="0" xfId="0" applyNumberFormat="1" applyFont="1" applyAlignment="1"/>
    <xf numFmtId="14" fontId="11" fillId="6" borderId="0" xfId="0" applyNumberFormat="1" applyFont="1" applyFill="1" applyAlignment="1">
      <alignment horizontal="right" indent="1"/>
    </xf>
    <xf numFmtId="178" fontId="6" fillId="0" borderId="0" xfId="0" applyNumberFormat="1" applyFont="1" applyAlignment="1"/>
    <xf numFmtId="178" fontId="6" fillId="6" borderId="0" xfId="0" applyNumberFormat="1" applyFont="1" applyFill="1" applyAlignment="1">
      <alignment horizontal="right" indent="1"/>
    </xf>
    <xf numFmtId="186" fontId="11" fillId="6" borderId="0" xfId="0" applyNumberFormat="1" applyFont="1" applyFill="1" applyAlignment="1">
      <alignment horizontal="right" indent="1"/>
    </xf>
    <xf numFmtId="181" fontId="12" fillId="0" borderId="0" xfId="10" applyNumberFormat="1" applyFont="1" applyAlignment="1">
      <alignment horizontal="right" indent="1"/>
    </xf>
    <xf numFmtId="181" fontId="11" fillId="5" borderId="0" xfId="0" applyNumberFormat="1" applyFont="1" applyFill="1" applyAlignment="1">
      <alignment horizontal="right" indent="1"/>
    </xf>
    <xf numFmtId="3" fontId="6" fillId="0" borderId="0" xfId="0" applyNumberFormat="1" applyFont="1" applyAlignment="1"/>
    <xf numFmtId="181" fontId="6" fillId="2" borderId="0" xfId="0" applyNumberFormat="1" applyFont="1" applyFill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181" fontId="10" fillId="0" borderId="0" xfId="0" applyNumberFormat="1" applyFont="1" applyAlignment="1">
      <alignment horizontal="center" wrapText="1"/>
    </xf>
    <xf numFmtId="177" fontId="11" fillId="0" borderId="0" xfId="0" applyNumberFormat="1" applyFont="1" applyAlignment="1">
      <alignment horizontal="right" indent="1"/>
    </xf>
    <xf numFmtId="178" fontId="11" fillId="0" borderId="0" xfId="0" applyNumberFormat="1" applyFont="1" applyAlignment="1">
      <alignment horizontal="right" indent="1"/>
    </xf>
    <xf numFmtId="181" fontId="11" fillId="0" borderId="0" xfId="0" applyNumberFormat="1" applyFont="1" applyAlignment="1">
      <alignment horizontal="right" indent="1"/>
    </xf>
    <xf numFmtId="181" fontId="13" fillId="0" borderId="0" xfId="10" applyNumberFormat="1" applyAlignment="1">
      <alignment horizontal="right" indent="1"/>
    </xf>
    <xf numFmtId="186" fontId="11" fillId="0" borderId="0" xfId="0" applyNumberFormat="1" applyFont="1" applyAlignment="1">
      <alignment horizontal="right" indent="1"/>
    </xf>
    <xf numFmtId="181" fontId="7" fillId="2" borderId="0" xfId="0" applyNumberFormat="1" applyFont="1" applyFill="1" applyAlignment="1">
      <alignment horizontal="right" indent="1"/>
    </xf>
    <xf numFmtId="3" fontId="10" fillId="0" borderId="0" xfId="0" applyNumberFormat="1" applyFont="1" applyAlignment="1"/>
    <xf numFmtId="186" fontId="2" fillId="0" borderId="0" xfId="0" applyNumberFormat="1" applyFont="1" applyAlignment="1">
      <alignment horizontal="right" indent="1"/>
    </xf>
    <xf numFmtId="186" fontId="6" fillId="0" borderId="0" xfId="0" applyNumberFormat="1" applyFont="1" applyAlignment="1">
      <alignment horizontal="right" indent="1"/>
    </xf>
    <xf numFmtId="180" fontId="2" fillId="0" borderId="0" xfId="0" applyNumberFormat="1" applyFont="1" applyAlignment="1">
      <alignment horizontal="right" indent="1"/>
    </xf>
    <xf numFmtId="0" fontId="1" fillId="0" borderId="0" xfId="0" applyNumberFormat="1" applyFo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49" fontId="1" fillId="0" borderId="0" xfId="0" applyNumberFormat="1" applyFont="1"/>
    <xf numFmtId="0" fontId="7" fillId="7" borderId="1" xfId="43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/>
    </xf>
    <xf numFmtId="0" fontId="7" fillId="7" borderId="4" xfId="43" applyFont="1" applyFill="1" applyBorder="1" applyAlignment="1">
      <alignment horizontal="left" vertical="center"/>
    </xf>
    <xf numFmtId="0" fontId="6" fillId="7" borderId="0" xfId="43" applyFont="1" applyFill="1" applyBorder="1" applyAlignment="1">
      <alignment horizontal="left" vertical="center"/>
    </xf>
    <xf numFmtId="0" fontId="7" fillId="8" borderId="4" xfId="46" applyFont="1" applyFill="1" applyBorder="1" applyAlignment="1">
      <alignment horizontal="center" vertical="center" wrapText="1"/>
    </xf>
    <xf numFmtId="0" fontId="7" fillId="8" borderId="0" xfId="46" applyFont="1" applyFill="1" applyBorder="1" applyAlignment="1">
      <alignment horizontal="center" vertical="center" wrapText="1"/>
    </xf>
    <xf numFmtId="9" fontId="6" fillId="0" borderId="4" xfId="25" applyFont="1" applyBorder="1" applyAlignment="1">
      <alignment horizontal="center" vertical="center"/>
    </xf>
    <xf numFmtId="9" fontId="6" fillId="0" borderId="0" xfId="11" applyFont="1" applyBorder="1" applyAlignment="1">
      <alignment horizontal="center" vertical="center"/>
    </xf>
    <xf numFmtId="9" fontId="14" fillId="0" borderId="0" xfId="11" applyNumberFormat="1" applyFont="1" applyBorder="1" applyAlignment="1">
      <alignment horizontal="center" vertical="center"/>
    </xf>
    <xf numFmtId="3" fontId="14" fillId="0" borderId="0" xfId="11" applyNumberFormat="1" applyFont="1" applyBorder="1" applyAlignment="1">
      <alignment horizontal="center" vertical="center"/>
    </xf>
    <xf numFmtId="183" fontId="14" fillId="6" borderId="0" xfId="11" applyNumberFormat="1" applyFont="1" applyFill="1" applyBorder="1" applyAlignment="1">
      <alignment horizontal="center" vertical="center"/>
    </xf>
    <xf numFmtId="181" fontId="6" fillId="0" borderId="0" xfId="46" applyNumberFormat="1" applyFont="1" applyBorder="1" applyAlignment="1">
      <alignment horizontal="center" vertical="center"/>
    </xf>
    <xf numFmtId="0" fontId="6" fillId="8" borderId="12" xfId="46" applyFont="1" applyFill="1" applyBorder="1" applyAlignment="1">
      <alignment horizontal="center" vertical="center"/>
    </xf>
    <xf numFmtId="9" fontId="7" fillId="8" borderId="13" xfId="11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/>
    </xf>
    <xf numFmtId="0" fontId="6" fillId="0" borderId="0" xfId="46" applyFont="1" applyFill="1" applyAlignment="1">
      <alignment horizontal="left" vertical="center"/>
    </xf>
    <xf numFmtId="9" fontId="7" fillId="0" borderId="0" xfId="11" applyFont="1" applyFill="1" applyAlignment="1">
      <alignment horizontal="center" vertical="center"/>
    </xf>
    <xf numFmtId="0" fontId="7" fillId="0" borderId="0" xfId="46" applyFont="1" applyFill="1" applyAlignment="1">
      <alignment horizontal="left" vertical="center"/>
    </xf>
    <xf numFmtId="0" fontId="7" fillId="7" borderId="2" xfId="0" applyFont="1" applyFill="1" applyBorder="1" applyAlignment="1">
      <alignment horizontal="right"/>
    </xf>
    <xf numFmtId="9" fontId="7" fillId="7" borderId="3" xfId="11" applyNumberFormat="1" applyFont="1" applyFill="1" applyBorder="1" applyAlignment="1">
      <alignment horizontal="center"/>
    </xf>
    <xf numFmtId="0" fontId="6" fillId="7" borderId="5" xfId="43" applyFont="1" applyFill="1" applyBorder="1" applyAlignment="1">
      <alignment horizontal="left" vertical="center"/>
    </xf>
    <xf numFmtId="0" fontId="7" fillId="8" borderId="5" xfId="46" applyFont="1" applyFill="1" applyBorder="1" applyAlignment="1">
      <alignment horizontal="center" vertical="center" wrapText="1"/>
    </xf>
    <xf numFmtId="9" fontId="6" fillId="0" borderId="0" xfId="25" applyFont="1" applyBorder="1" applyAlignment="1">
      <alignment horizontal="center" vertical="center"/>
    </xf>
    <xf numFmtId="181" fontId="6" fillId="0" borderId="5" xfId="46" applyNumberFormat="1" applyFont="1" applyBorder="1" applyAlignment="1">
      <alignment horizontal="center" vertical="center"/>
    </xf>
    <xf numFmtId="9" fontId="14" fillId="0" borderId="0" xfId="11" applyFont="1" applyBorder="1" applyAlignment="1">
      <alignment horizontal="center" vertical="center"/>
    </xf>
    <xf numFmtId="3" fontId="14" fillId="0" borderId="9" xfId="11" applyNumberFormat="1" applyFont="1" applyBorder="1" applyAlignment="1">
      <alignment horizontal="center" vertical="center"/>
    </xf>
    <xf numFmtId="0" fontId="7" fillId="8" borderId="13" xfId="0" applyFont="1" applyFill="1" applyBorder="1" applyAlignment="1">
      <alignment horizontal="right"/>
    </xf>
    <xf numFmtId="181" fontId="7" fillId="8" borderId="14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6" fillId="7" borderId="2" xfId="0" applyFont="1" applyFill="1" applyBorder="1" applyAlignment="1"/>
    <xf numFmtId="0" fontId="6" fillId="7" borderId="2" xfId="43" applyFont="1" applyFill="1" applyBorder="1" applyAlignment="1">
      <alignment horizontal="left" vertical="center"/>
    </xf>
    <xf numFmtId="0" fontId="6" fillId="7" borderId="0" xfId="0" applyFont="1" applyFill="1" applyBorder="1" applyAlignment="1"/>
    <xf numFmtId="0" fontId="11" fillId="7" borderId="0" xfId="0" applyFont="1" applyFill="1" applyBorder="1" applyAlignment="1"/>
    <xf numFmtId="0" fontId="6" fillId="7" borderId="0" xfId="43" applyFont="1" applyFill="1" applyBorder="1" applyAlignment="1">
      <alignment vertical="center"/>
    </xf>
    <xf numFmtId="183" fontId="6" fillId="0" borderId="0" xfId="46" applyNumberFormat="1" applyFont="1" applyBorder="1" applyAlignment="1">
      <alignment horizontal="center" vertical="center"/>
    </xf>
    <xf numFmtId="183" fontId="6" fillId="0" borderId="9" xfId="46" applyNumberFormat="1" applyFont="1" applyBorder="1" applyAlignment="1">
      <alignment horizontal="center" vertical="center"/>
    </xf>
    <xf numFmtId="9" fontId="6" fillId="0" borderId="9" xfId="25" applyFont="1" applyBorder="1" applyAlignment="1">
      <alignment horizontal="center" vertical="center"/>
    </xf>
    <xf numFmtId="0" fontId="7" fillId="8" borderId="13" xfId="46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49" fontId="0" fillId="0" borderId="0" xfId="0" applyNumberFormat="1"/>
    <xf numFmtId="181" fontId="0" fillId="0" borderId="0" xfId="0" applyNumberFormat="1"/>
    <xf numFmtId="181" fontId="1" fillId="0" borderId="0" xfId="0" applyNumberFormat="1" applyFont="1"/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Pourcentage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A3:M15" totalsRowShown="0">
  <autoFilter ref="A3:M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Date"/>
    <tableColumn id="2" name="Shares Sold"/>
    <tableColumn id="3" name="Offering Price"/>
    <tableColumn id="4" name="Market Price"/>
    <tableColumn id="5" name="Discount"/>
    <tableColumn id="6" name="Gross Proceeds"/>
    <tableColumn id="7" name="Liquidity Pre-Offering"/>
    <tableColumn id="8" name="Liquidity Post-Offering"/>
    <tableColumn id="9" name="Cash Burn At Offering"/>
    <tableColumn id="10" name="Cash Runway Pre-Offering (qtrs)"/>
    <tableColumn id="11" name="Cash Runway Pre-Offering (date)"/>
    <tableColumn id="12" name="Management Cash Runway Pre-Offering"/>
    <tableColumn id="13" name="Management Cash Runway Post-Offerin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30" zoomScaleNormal="130" workbookViewId="0">
      <selection activeCell="H11" sqref="H11"/>
    </sheetView>
  </sheetViews>
  <sheetFormatPr defaultColWidth="9" defaultRowHeight="15.75"/>
  <cols>
    <col min="1" max="1" width="10.8333333333333" style="198"/>
    <col min="2" max="2" width="11.3333333333333" customWidth="1"/>
    <col min="6" max="6" width="12" customWidth="1"/>
    <col min="7" max="7" width="10.8333333333333" style="199"/>
    <col min="8" max="8" width="11.5" style="199" customWidth="1"/>
    <col min="9" max="9" width="12.8333333333333" style="199" customWidth="1"/>
    <col min="10" max="11" width="10.8333333333333" style="199"/>
    <col min="12" max="12" width="11.8333333333333" style="199" customWidth="1"/>
    <col min="13" max="13" width="11.6666666666667" style="199" customWidth="1"/>
  </cols>
  <sheetData>
    <row r="1" s="150" customFormat="1" ht="20.25" spans="1:13">
      <c r="A1" s="150" t="s">
        <v>0</v>
      </c>
      <c r="G1" s="200"/>
      <c r="H1" s="200"/>
      <c r="I1" s="200"/>
      <c r="J1" s="200"/>
      <c r="K1" s="200"/>
      <c r="L1" s="200"/>
      <c r="M1" s="200"/>
    </row>
    <row r="3" s="197" customFormat="1" ht="47.25" spans="1:15">
      <c r="A3" s="201" t="s">
        <v>1</v>
      </c>
      <c r="B3" s="197" t="s">
        <v>2</v>
      </c>
      <c r="C3" s="197" t="s">
        <v>3</v>
      </c>
      <c r="D3" s="197" t="s">
        <v>4</v>
      </c>
      <c r="E3" s="197" t="s">
        <v>5</v>
      </c>
      <c r="F3" s="19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97" t="s">
        <v>14</v>
      </c>
      <c r="O3" s="197" t="s">
        <v>15</v>
      </c>
    </row>
    <row r="19" spans="1:1">
      <c r="A19" s="202" t="s">
        <v>16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14"/>
  <sheetViews>
    <sheetView showGridLines="0" zoomScale="150" zoomScaleNormal="150" topLeftCell="C1" workbookViewId="0">
      <selection activeCell="S8" sqref="S8:S12"/>
    </sheetView>
  </sheetViews>
  <sheetFormatPr defaultColWidth="10.8333333333333" defaultRowHeight="15.75"/>
  <cols>
    <col min="1" max="1" width="10.8333333333333" style="155"/>
    <col min="2" max="2" width="9.66666666666667" style="155" customWidth="1"/>
    <col min="3" max="3" width="11.3333333333333" style="155" customWidth="1"/>
    <col min="4" max="4" width="11" style="155" customWidth="1"/>
    <col min="5" max="5" width="8.33333333333333" style="155" customWidth="1"/>
    <col min="6" max="6" width="9.33333333333333" style="155" customWidth="1"/>
    <col min="7" max="7" width="9.16666666666667" style="155" customWidth="1"/>
    <col min="8" max="8" width="10.3333333333333" style="155" customWidth="1"/>
    <col min="9" max="9" width="12" style="155" customWidth="1"/>
    <col min="10" max="10" width="9.66666666666667" style="155" customWidth="1"/>
    <col min="11" max="11" width="9"/>
    <col min="12" max="12" width="9.16666666666667" style="155" customWidth="1"/>
    <col min="13" max="13" width="12.6666666666667" style="155" customWidth="1"/>
    <col min="14" max="14" width="10.8333333333333" style="155" customWidth="1"/>
    <col min="15" max="15" width="8.5" style="155" customWidth="1"/>
    <col min="16" max="16" width="9.33333333333333" style="155" customWidth="1"/>
    <col min="17" max="17" width="9.83333333333333" style="155" customWidth="1"/>
    <col min="18" max="18" width="8.83333333333333" style="155" customWidth="1"/>
    <col min="19" max="19" width="9.83333333333333" style="155" customWidth="1"/>
    <col min="20" max="20" width="9.33333333333333" style="155" customWidth="1"/>
    <col min="21" max="16384" width="10.8333333333333" style="155"/>
  </cols>
  <sheetData>
    <row r="1" s="150" customFormat="1" ht="20.25" spans="2:2">
      <c r="B1" s="156" t="s">
        <v>17</v>
      </c>
    </row>
    <row r="2" ht="16.5"/>
    <row r="3" spans="2:20">
      <c r="B3" s="157" t="s">
        <v>4</v>
      </c>
      <c r="C3" s="158" t="s">
        <v>18</v>
      </c>
      <c r="D3" s="158"/>
      <c r="E3" s="158"/>
      <c r="F3" s="158"/>
      <c r="G3" s="158"/>
      <c r="H3" s="158"/>
      <c r="I3" s="175" t="s">
        <v>19</v>
      </c>
      <c r="J3" s="176">
        <v>0.75</v>
      </c>
      <c r="L3" s="157" t="s">
        <v>4</v>
      </c>
      <c r="M3" s="158" t="s">
        <v>20</v>
      </c>
      <c r="N3" s="158"/>
      <c r="O3" s="158"/>
      <c r="P3" s="158"/>
      <c r="Q3" s="188"/>
      <c r="R3" s="189" t="s">
        <v>19</v>
      </c>
      <c r="S3" s="158"/>
      <c r="T3" s="176">
        <v>0.75</v>
      </c>
    </row>
    <row r="4" spans="2:20">
      <c r="B4" s="159" t="s">
        <v>3</v>
      </c>
      <c r="C4" s="160" t="s">
        <v>21</v>
      </c>
      <c r="D4" s="160"/>
      <c r="E4" s="160"/>
      <c r="F4" s="160"/>
      <c r="G4" s="160"/>
      <c r="H4" s="160"/>
      <c r="I4" s="160"/>
      <c r="J4" s="177"/>
      <c r="L4" s="159" t="s">
        <v>3</v>
      </c>
      <c r="M4" s="160" t="s">
        <v>21</v>
      </c>
      <c r="N4" s="160"/>
      <c r="O4" s="160"/>
      <c r="P4" s="160"/>
      <c r="Q4" s="190"/>
      <c r="R4" s="160"/>
      <c r="S4" s="160"/>
      <c r="T4" s="160"/>
    </row>
    <row r="5" spans="2:20">
      <c r="B5" s="159" t="s">
        <v>22</v>
      </c>
      <c r="C5" s="160" t="s">
        <v>23</v>
      </c>
      <c r="D5" s="160"/>
      <c r="E5" s="160"/>
      <c r="F5" s="160"/>
      <c r="G5" s="160"/>
      <c r="H5" s="160"/>
      <c r="I5" s="160"/>
      <c r="J5" s="177"/>
      <c r="L5" s="159" t="s">
        <v>22</v>
      </c>
      <c r="M5" s="160" t="s">
        <v>23</v>
      </c>
      <c r="N5" s="160"/>
      <c r="O5" s="160"/>
      <c r="P5" s="160"/>
      <c r="Q5" s="191"/>
      <c r="R5" s="160"/>
      <c r="S5" s="160"/>
      <c r="T5" s="160"/>
    </row>
    <row r="6" spans="2:20">
      <c r="B6" s="159" t="s">
        <v>24</v>
      </c>
      <c r="C6" s="160" t="s">
        <v>25</v>
      </c>
      <c r="D6" s="160"/>
      <c r="E6" s="160"/>
      <c r="F6" s="160"/>
      <c r="G6" s="160"/>
      <c r="H6" s="160"/>
      <c r="I6" s="160"/>
      <c r="J6" s="177"/>
      <c r="L6" s="159" t="s">
        <v>24</v>
      </c>
      <c r="M6" s="160" t="s">
        <v>26</v>
      </c>
      <c r="N6" s="160"/>
      <c r="O6" s="160"/>
      <c r="P6" s="160"/>
      <c r="Q6" s="192"/>
      <c r="R6" s="160"/>
      <c r="S6" s="160"/>
      <c r="T6" s="160"/>
    </row>
    <row r="7" s="151" customFormat="1" ht="63" spans="2:20">
      <c r="B7" s="161" t="s">
        <v>27</v>
      </c>
      <c r="C7" s="162" t="s">
        <v>28</v>
      </c>
      <c r="D7" s="162" t="s">
        <v>29</v>
      </c>
      <c r="E7" s="162" t="s">
        <v>30</v>
      </c>
      <c r="F7" s="162" t="s">
        <v>31</v>
      </c>
      <c r="G7" s="162" t="s">
        <v>32</v>
      </c>
      <c r="H7" s="162" t="s">
        <v>33</v>
      </c>
      <c r="I7" s="162" t="s">
        <v>34</v>
      </c>
      <c r="J7" s="178" t="s">
        <v>35</v>
      </c>
      <c r="L7" s="161" t="s">
        <v>27</v>
      </c>
      <c r="M7" s="162" t="s">
        <v>28</v>
      </c>
      <c r="N7" s="162" t="s">
        <v>29</v>
      </c>
      <c r="O7" s="162" t="s">
        <v>30</v>
      </c>
      <c r="P7" s="162" t="s">
        <v>31</v>
      </c>
      <c r="Q7" s="162" t="s">
        <v>32</v>
      </c>
      <c r="R7" s="162" t="s">
        <v>33</v>
      </c>
      <c r="S7" s="162" t="s">
        <v>34</v>
      </c>
      <c r="T7" s="162" t="s">
        <v>35</v>
      </c>
    </row>
    <row r="8" s="152" customFormat="1" spans="2:20">
      <c r="B8" s="163">
        <v>0.05</v>
      </c>
      <c r="C8" s="164">
        <v>0.2</v>
      </c>
      <c r="D8" s="165">
        <f>$J$3*C8</f>
        <v>0.15</v>
      </c>
      <c r="E8" s="166">
        <v>100000</v>
      </c>
      <c r="F8" s="166">
        <f>B8*$E$8</f>
        <v>5000</v>
      </c>
      <c r="G8" s="167">
        <v>100000</v>
      </c>
      <c r="H8" s="168">
        <f>F8*$G$8/1000000</f>
        <v>500</v>
      </c>
      <c r="I8" s="179">
        <v>0.1</v>
      </c>
      <c r="J8" s="180">
        <f>H8*(1-$I8)</f>
        <v>450</v>
      </c>
      <c r="L8" s="163">
        <v>0.05</v>
      </c>
      <c r="M8" s="164">
        <v>0.2</v>
      </c>
      <c r="N8" s="181">
        <f>IF($T$3="","",$T$3*M8)</f>
        <v>0.15</v>
      </c>
      <c r="O8" s="166">
        <f>E8*1.6</f>
        <v>160000</v>
      </c>
      <c r="P8" s="166">
        <f>L8*$O$8</f>
        <v>8000</v>
      </c>
      <c r="Q8" s="193">
        <f>0.5*G8</f>
        <v>50000</v>
      </c>
      <c r="R8" s="168">
        <f>P8*$Q$8/1000000</f>
        <v>400</v>
      </c>
      <c r="S8" s="179">
        <v>0.1</v>
      </c>
      <c r="T8" s="168">
        <f>R8*(1-$S$8)</f>
        <v>360</v>
      </c>
    </row>
    <row r="9" s="152" customFormat="1" spans="2:20">
      <c r="B9" s="163">
        <v>0.1</v>
      </c>
      <c r="C9" s="164">
        <v>0.2</v>
      </c>
      <c r="D9" s="165">
        <f>$J$3*C9</f>
        <v>0.15</v>
      </c>
      <c r="E9" s="166"/>
      <c r="F9" s="166">
        <f t="shared" ref="F9:F12" si="0">B9*$E$8</f>
        <v>10000</v>
      </c>
      <c r="G9" s="167"/>
      <c r="H9" s="168">
        <f t="shared" ref="H9:H12" si="1">F9*$G$8/1000000</f>
        <v>1000</v>
      </c>
      <c r="I9" s="179"/>
      <c r="J9" s="180">
        <f>H9*(1-$I$8)</f>
        <v>900</v>
      </c>
      <c r="L9" s="163">
        <v>0.1</v>
      </c>
      <c r="M9" s="164">
        <v>0.2</v>
      </c>
      <c r="N9" s="181">
        <f t="shared" ref="N9:N12" si="2">IF($T$3="","",$T$3*M9)</f>
        <v>0.15</v>
      </c>
      <c r="O9" s="166"/>
      <c r="P9" s="166">
        <f t="shared" ref="P9:P12" si="3">L9*$O$8</f>
        <v>16000</v>
      </c>
      <c r="Q9" s="193"/>
      <c r="R9" s="168">
        <f t="shared" ref="R9:R12" si="4">P9*$Q$8/1000000</f>
        <v>800</v>
      </c>
      <c r="S9" s="179"/>
      <c r="T9" s="168">
        <f t="shared" ref="T9:T12" si="5">R9*(1-$S$8)</f>
        <v>720</v>
      </c>
    </row>
    <row r="10" s="152" customFormat="1" spans="2:20">
      <c r="B10" s="163">
        <v>0.15</v>
      </c>
      <c r="C10" s="164">
        <v>0.2</v>
      </c>
      <c r="D10" s="165">
        <f>$J$3*C10</f>
        <v>0.15</v>
      </c>
      <c r="E10" s="166"/>
      <c r="F10" s="166">
        <f t="shared" si="0"/>
        <v>15000</v>
      </c>
      <c r="G10" s="167"/>
      <c r="H10" s="168">
        <f t="shared" si="1"/>
        <v>1500</v>
      </c>
      <c r="I10" s="179"/>
      <c r="J10" s="180">
        <f>H10*(1-$I$8)</f>
        <v>1350</v>
      </c>
      <c r="L10" s="163">
        <v>0.15</v>
      </c>
      <c r="M10" s="164">
        <v>0.2</v>
      </c>
      <c r="N10" s="181">
        <f t="shared" si="2"/>
        <v>0.15</v>
      </c>
      <c r="O10" s="166"/>
      <c r="P10" s="166">
        <f t="shared" si="3"/>
        <v>24000</v>
      </c>
      <c r="Q10" s="193"/>
      <c r="R10" s="168">
        <f t="shared" si="4"/>
        <v>1200</v>
      </c>
      <c r="S10" s="179"/>
      <c r="T10" s="168">
        <f t="shared" si="5"/>
        <v>1080</v>
      </c>
    </row>
    <row r="11" s="152" customFormat="1" spans="2:20">
      <c r="B11" s="163">
        <v>0.2</v>
      </c>
      <c r="C11" s="164">
        <v>0.2</v>
      </c>
      <c r="D11" s="165">
        <f>$J$3*C11</f>
        <v>0.15</v>
      </c>
      <c r="E11" s="166"/>
      <c r="F11" s="166">
        <f t="shared" si="0"/>
        <v>20000</v>
      </c>
      <c r="G11" s="167"/>
      <c r="H11" s="168">
        <f t="shared" si="1"/>
        <v>2000</v>
      </c>
      <c r="I11" s="179"/>
      <c r="J11" s="180">
        <f>H11*(1-$I$8)</f>
        <v>1800</v>
      </c>
      <c r="L11" s="163">
        <v>0.2</v>
      </c>
      <c r="M11" s="164">
        <v>0.2</v>
      </c>
      <c r="N11" s="181">
        <f t="shared" si="2"/>
        <v>0.15</v>
      </c>
      <c r="O11" s="166"/>
      <c r="P11" s="166">
        <f t="shared" si="3"/>
        <v>32000</v>
      </c>
      <c r="Q11" s="193"/>
      <c r="R11" s="168">
        <f t="shared" si="4"/>
        <v>1600</v>
      </c>
      <c r="S11" s="179"/>
      <c r="T11" s="168">
        <f t="shared" si="5"/>
        <v>1440</v>
      </c>
    </row>
    <row r="12" s="152" customFormat="1" spans="2:20">
      <c r="B12" s="163">
        <v>0.25</v>
      </c>
      <c r="C12" s="164">
        <v>0.2</v>
      </c>
      <c r="D12" s="165">
        <f>$J$3*C12</f>
        <v>0.15</v>
      </c>
      <c r="E12" s="166"/>
      <c r="F12" s="166">
        <f t="shared" si="0"/>
        <v>25000</v>
      </c>
      <c r="G12" s="167"/>
      <c r="H12" s="168">
        <f t="shared" si="1"/>
        <v>2500</v>
      </c>
      <c r="I12" s="179"/>
      <c r="J12" s="180">
        <f>H12*(1-$I$8)</f>
        <v>2250</v>
      </c>
      <c r="L12" s="163">
        <v>0.25</v>
      </c>
      <c r="M12" s="164">
        <v>0.2</v>
      </c>
      <c r="N12" s="181">
        <f t="shared" si="2"/>
        <v>0.15</v>
      </c>
      <c r="O12" s="182"/>
      <c r="P12" s="166">
        <f t="shared" si="3"/>
        <v>40000</v>
      </c>
      <c r="Q12" s="194"/>
      <c r="R12" s="168">
        <f t="shared" si="4"/>
        <v>2000</v>
      </c>
      <c r="S12" s="195"/>
      <c r="T12" s="168">
        <f t="shared" si="5"/>
        <v>1800</v>
      </c>
    </row>
    <row r="13" s="153" customFormat="1" ht="16.5" spans="2:20">
      <c r="B13" s="169" t="s">
        <v>36</v>
      </c>
      <c r="C13" s="170">
        <f>SUM(C8:C12)</f>
        <v>1</v>
      </c>
      <c r="D13" s="170">
        <f>SUM(D8:D12)</f>
        <v>0.75</v>
      </c>
      <c r="E13" s="170"/>
      <c r="F13" s="170"/>
      <c r="G13" s="170"/>
      <c r="H13" s="171"/>
      <c r="I13" s="183" t="s">
        <v>37</v>
      </c>
      <c r="J13" s="184">
        <f>SUMPRODUCT(D8:D12,J8:J12)</f>
        <v>1012.5</v>
      </c>
      <c r="K13" s="185"/>
      <c r="L13" s="169" t="s">
        <v>36</v>
      </c>
      <c r="M13" s="170">
        <f>SUM(M8:M12)</f>
        <v>1</v>
      </c>
      <c r="N13" s="170">
        <f>SUM(N8:N12)</f>
        <v>0.75</v>
      </c>
      <c r="O13" s="170"/>
      <c r="P13" s="170"/>
      <c r="Q13" s="196"/>
      <c r="R13" s="196" t="s">
        <v>38</v>
      </c>
      <c r="S13" s="183"/>
      <c r="T13" s="184">
        <f>SUMPRODUCT(T8:T12,N8:N12)</f>
        <v>810</v>
      </c>
    </row>
    <row r="14" s="154" customFormat="1" spans="2:20">
      <c r="B14" s="172"/>
      <c r="C14" s="173"/>
      <c r="D14" s="173"/>
      <c r="E14" s="173"/>
      <c r="F14" s="173"/>
      <c r="G14" s="173"/>
      <c r="H14" s="174"/>
      <c r="I14" s="186"/>
      <c r="J14" s="187"/>
      <c r="L14" s="172"/>
      <c r="M14" s="172"/>
      <c r="N14" s="174"/>
      <c r="O14" s="174"/>
      <c r="P14" s="174"/>
      <c r="Q14" s="186"/>
      <c r="R14" s="187"/>
      <c r="S14" s="186"/>
      <c r="T14" s="187"/>
    </row>
  </sheetData>
  <mergeCells count="6">
    <mergeCell ref="E8:E12"/>
    <mergeCell ref="G8:G12"/>
    <mergeCell ref="I8:I12"/>
    <mergeCell ref="O8:O12"/>
    <mergeCell ref="Q8:Q12"/>
    <mergeCell ref="S8:S12"/>
  </mergeCells>
  <pageMargins left="0.699305555555556" right="0.699305555555556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zoomScale="130" zoomScaleNormal="130" topLeftCell="A31" workbookViewId="0">
      <selection activeCell="D55" sqref="D55"/>
    </sheetView>
  </sheetViews>
  <sheetFormatPr defaultColWidth="10.8333333333333" defaultRowHeight="15.75"/>
  <cols>
    <col min="1" max="1" width="9" style="61" customWidth="1"/>
    <col min="2" max="2" width="25.6666666666667" style="62" customWidth="1"/>
    <col min="3" max="3" width="12.6666666666667" style="63"/>
    <col min="4" max="4" width="20.8333333333333" style="63" customWidth="1"/>
    <col min="5" max="16384" width="10.8333333333333" style="63"/>
  </cols>
  <sheetData>
    <row r="1" s="51" customFormat="1" ht="20.25" spans="1:4">
      <c r="A1" s="64"/>
      <c r="B1" s="65" t="s">
        <v>17</v>
      </c>
      <c r="C1" s="64"/>
      <c r="D1" s="64"/>
    </row>
    <row r="2" ht="16.5" spans="2:4">
      <c r="B2" s="66"/>
      <c r="C2" s="61"/>
      <c r="D2" s="61"/>
    </row>
    <row r="3" s="52" customFormat="1" spans="1:8">
      <c r="A3" s="67"/>
      <c r="B3" s="68" t="s">
        <v>4</v>
      </c>
      <c r="C3" s="69" t="s">
        <v>18</v>
      </c>
      <c r="D3" s="70" t="s">
        <v>20</v>
      </c>
      <c r="H3" s="71"/>
    </row>
    <row r="4" s="52" customFormat="1" spans="1:8">
      <c r="A4" s="67"/>
      <c r="B4" s="72" t="s">
        <v>3</v>
      </c>
      <c r="C4" s="73" t="s">
        <v>21</v>
      </c>
      <c r="D4" s="74" t="s">
        <v>21</v>
      </c>
      <c r="E4" s="75"/>
      <c r="F4" s="75"/>
      <c r="H4" s="71"/>
    </row>
    <row r="5" spans="2:8">
      <c r="B5" s="76" t="s">
        <v>39</v>
      </c>
      <c r="C5" s="77">
        <f>'Peak Sales'!J13</f>
        <v>1012.5</v>
      </c>
      <c r="D5" s="78">
        <f>'Peak Sales'!T13</f>
        <v>810</v>
      </c>
      <c r="H5" s="62"/>
    </row>
    <row r="6" spans="2:8">
      <c r="B6" s="76" t="s">
        <v>40</v>
      </c>
      <c r="C6" s="77"/>
      <c r="D6" s="78"/>
      <c r="E6" s="79"/>
      <c r="F6" s="79"/>
      <c r="H6" s="62"/>
    </row>
    <row r="7" s="52" customFormat="1" spans="1:8">
      <c r="A7" s="67"/>
      <c r="B7" s="72" t="s">
        <v>41</v>
      </c>
      <c r="C7" s="80">
        <f>SUM(C5:C6)</f>
        <v>1012.5</v>
      </c>
      <c r="D7" s="81">
        <f>D5</f>
        <v>810</v>
      </c>
      <c r="E7" s="82"/>
      <c r="F7" s="82"/>
      <c r="H7" s="71"/>
    </row>
    <row r="8" spans="2:8">
      <c r="B8" s="76" t="s">
        <v>42</v>
      </c>
      <c r="C8" s="77">
        <f>C7-C10</f>
        <v>20.25</v>
      </c>
      <c r="D8" s="78">
        <f>D7-D10</f>
        <v>16.2</v>
      </c>
      <c r="E8" s="79"/>
      <c r="F8" s="79"/>
      <c r="H8" s="62"/>
    </row>
    <row r="9" s="53" customFormat="1" spans="1:8">
      <c r="A9" s="83"/>
      <c r="B9" s="84" t="s">
        <v>43</v>
      </c>
      <c r="C9" s="85">
        <v>0.98</v>
      </c>
      <c r="D9" s="86">
        <v>0.98</v>
      </c>
      <c r="E9" s="87"/>
      <c r="F9" s="87"/>
      <c r="H9" s="88"/>
    </row>
    <row r="10" s="52" customFormat="1" spans="1:8">
      <c r="A10" s="67"/>
      <c r="B10" s="72" t="s">
        <v>44</v>
      </c>
      <c r="C10" s="80">
        <f>C9*C5</f>
        <v>992.25</v>
      </c>
      <c r="D10" s="81">
        <f>D9*D7</f>
        <v>793.8</v>
      </c>
      <c r="E10" s="82"/>
      <c r="F10" s="82"/>
      <c r="H10" s="71"/>
    </row>
    <row r="11" s="52" customFormat="1" spans="1:8">
      <c r="A11" s="67"/>
      <c r="B11" s="72"/>
      <c r="C11" s="80"/>
      <c r="D11" s="81"/>
      <c r="E11" s="82"/>
      <c r="F11" s="82"/>
      <c r="H11" s="71"/>
    </row>
    <row r="12" s="52" customFormat="1" spans="1:8">
      <c r="A12" s="67"/>
      <c r="B12" s="72" t="s">
        <v>45</v>
      </c>
      <c r="C12" s="80"/>
      <c r="D12" s="81"/>
      <c r="E12" s="82"/>
      <c r="F12" s="82"/>
      <c r="H12" s="71"/>
    </row>
    <row r="13" s="52" customFormat="1" spans="1:8">
      <c r="A13" s="67"/>
      <c r="B13" s="89" t="s">
        <v>46</v>
      </c>
      <c r="C13" s="90">
        <f>36*4</f>
        <v>144</v>
      </c>
      <c r="D13" s="91">
        <v>0</v>
      </c>
      <c r="E13" s="82"/>
      <c r="F13" s="82"/>
      <c r="H13" s="71"/>
    </row>
    <row r="14" s="52" customFormat="1" spans="1:8">
      <c r="A14" s="67"/>
      <c r="B14" s="89" t="s">
        <v>47</v>
      </c>
      <c r="C14" s="92">
        <f>(25*4/2)+(50*0.2)</f>
        <v>60</v>
      </c>
      <c r="D14" s="93">
        <f>C14</f>
        <v>60</v>
      </c>
      <c r="E14" s="82"/>
      <c r="F14" s="82"/>
      <c r="H14" s="71"/>
    </row>
    <row r="15" s="52" customFormat="1" spans="1:8">
      <c r="A15" s="67"/>
      <c r="B15" s="72" t="s">
        <v>48</v>
      </c>
      <c r="C15" s="94">
        <f>SUM(C13:C14)</f>
        <v>204</v>
      </c>
      <c r="D15" s="95">
        <f>SUM(D13:D14)</f>
        <v>60</v>
      </c>
      <c r="E15" s="82"/>
      <c r="F15" s="82"/>
      <c r="H15" s="71"/>
    </row>
    <row r="16" s="52" customFormat="1" spans="1:8">
      <c r="A16" s="67"/>
      <c r="B16" s="72" t="s">
        <v>49</v>
      </c>
      <c r="C16" s="96">
        <f>C10-C15</f>
        <v>788.25</v>
      </c>
      <c r="D16" s="81">
        <f>D10-D15</f>
        <v>733.8</v>
      </c>
      <c r="E16" s="82"/>
      <c r="F16" s="82"/>
      <c r="H16" s="71"/>
    </row>
    <row r="17" s="52" customFormat="1" spans="1:8">
      <c r="A17" s="67"/>
      <c r="B17" s="97" t="s">
        <v>50</v>
      </c>
      <c r="C17" s="96"/>
      <c r="D17" s="91"/>
      <c r="E17" s="82"/>
      <c r="F17" s="82"/>
      <c r="H17" s="71"/>
    </row>
    <row r="18" s="52" customFormat="1" spans="1:8">
      <c r="A18" s="67"/>
      <c r="B18" s="98" t="s">
        <v>51</v>
      </c>
      <c r="C18" s="92">
        <v>0</v>
      </c>
      <c r="D18" s="93">
        <v>0</v>
      </c>
      <c r="E18" s="82"/>
      <c r="F18" s="82"/>
      <c r="H18" s="71"/>
    </row>
    <row r="19" s="52" customFormat="1" spans="1:8">
      <c r="A19" s="67"/>
      <c r="B19" s="98" t="s">
        <v>52</v>
      </c>
      <c r="C19" s="92">
        <v>0</v>
      </c>
      <c r="D19" s="93">
        <v>0</v>
      </c>
      <c r="E19" s="82"/>
      <c r="F19" s="82"/>
      <c r="H19" s="71"/>
    </row>
    <row r="20" s="52" customFormat="1" spans="1:8">
      <c r="A20" s="67"/>
      <c r="B20" s="72" t="s">
        <v>53</v>
      </c>
      <c r="C20" s="80">
        <f>C16+C19</f>
        <v>788.25</v>
      </c>
      <c r="D20" s="81">
        <f>D16+D19</f>
        <v>733.8</v>
      </c>
      <c r="E20" s="82"/>
      <c r="F20" s="82"/>
      <c r="H20" s="71"/>
    </row>
    <row r="21" s="54" customFormat="1" spans="1:8">
      <c r="A21" s="99"/>
      <c r="B21" s="100" t="s">
        <v>54</v>
      </c>
      <c r="C21" s="101">
        <v>0.21</v>
      </c>
      <c r="D21" s="102">
        <f>C21</f>
        <v>0.21</v>
      </c>
      <c r="E21" s="103"/>
      <c r="F21" s="103"/>
      <c r="H21" s="104"/>
    </row>
    <row r="22" spans="2:8">
      <c r="B22" s="76" t="s">
        <v>55</v>
      </c>
      <c r="C22" s="77">
        <f>C21*C20</f>
        <v>165.5325</v>
      </c>
      <c r="D22" s="78">
        <f t="shared" ref="D22" si="0">D21*D20</f>
        <v>154.098</v>
      </c>
      <c r="E22" s="105"/>
      <c r="F22" s="79"/>
      <c r="H22" s="62"/>
    </row>
    <row r="23" s="52" customFormat="1" spans="1:8">
      <c r="A23" s="67"/>
      <c r="B23" s="72" t="s">
        <v>56</v>
      </c>
      <c r="C23" s="106">
        <f>C20-C22</f>
        <v>622.7175</v>
      </c>
      <c r="D23" s="95">
        <f t="shared" ref="D23" si="1">D20-D22</f>
        <v>579.702</v>
      </c>
      <c r="E23" s="82"/>
      <c r="F23" s="82"/>
      <c r="H23" s="71"/>
    </row>
    <row r="24" s="54" customFormat="1" spans="1:8">
      <c r="A24" s="99"/>
      <c r="B24" s="100" t="s">
        <v>57</v>
      </c>
      <c r="C24" s="101">
        <f>C23/C5</f>
        <v>0.61502962962963</v>
      </c>
      <c r="D24" s="107">
        <f t="shared" ref="D24" si="2">D23/D5</f>
        <v>0.715681481481481</v>
      </c>
      <c r="E24" s="103"/>
      <c r="F24" s="103"/>
      <c r="H24" s="104"/>
    </row>
    <row r="25" s="55" customFormat="1" spans="1:8">
      <c r="A25" s="108"/>
      <c r="B25" s="109" t="s">
        <v>58</v>
      </c>
      <c r="C25" s="110">
        <v>5</v>
      </c>
      <c r="D25" s="111">
        <v>5</v>
      </c>
      <c r="E25" s="112"/>
      <c r="F25" s="112"/>
      <c r="H25" s="113"/>
    </row>
    <row r="26" s="52" customFormat="1" spans="1:9">
      <c r="A26" s="67"/>
      <c r="B26" s="114" t="s">
        <v>59</v>
      </c>
      <c r="C26" s="106">
        <f>C25*C23</f>
        <v>3113.5875</v>
      </c>
      <c r="D26" s="95">
        <f>D25*D23</f>
        <v>2898.51</v>
      </c>
      <c r="E26" s="82"/>
      <c r="F26" s="82"/>
      <c r="H26" s="71"/>
      <c r="I26" s="149"/>
    </row>
    <row r="27" s="52" customFormat="1" spans="1:6">
      <c r="A27" s="67"/>
      <c r="B27" s="115" t="s">
        <v>60</v>
      </c>
      <c r="C27" s="116" t="s">
        <v>21</v>
      </c>
      <c r="D27" s="116"/>
      <c r="E27" s="117"/>
      <c r="F27" s="117"/>
    </row>
    <row r="28" s="52" customFormat="1" spans="1:6">
      <c r="A28" s="67"/>
      <c r="B28" s="118"/>
      <c r="C28" s="116">
        <f>SUM(C26,D26)</f>
        <v>6012.0975</v>
      </c>
      <c r="D28" s="116"/>
      <c r="E28" s="117"/>
      <c r="F28" s="117"/>
    </row>
    <row r="29" spans="2:4">
      <c r="B29" s="66"/>
      <c r="C29" s="61"/>
      <c r="D29" s="61"/>
    </row>
    <row r="30" spans="5:13">
      <c r="E30" s="117" t="s">
        <v>61</v>
      </c>
      <c r="F30" s="117"/>
      <c r="G30" s="117"/>
      <c r="H30" s="117"/>
      <c r="J30" s="117" t="s">
        <v>62</v>
      </c>
      <c r="K30" s="117"/>
      <c r="L30" s="117"/>
      <c r="M30" s="117"/>
    </row>
    <row r="31" spans="2:13">
      <c r="B31" s="62" t="s">
        <v>63</v>
      </c>
      <c r="C31" s="63">
        <f>SUM(C28,E28)</f>
        <v>6012.0975</v>
      </c>
      <c r="E31" s="117" t="s">
        <v>64</v>
      </c>
      <c r="F31" s="117" t="s">
        <v>65</v>
      </c>
      <c r="G31" s="117" t="s">
        <v>66</v>
      </c>
      <c r="H31" s="117" t="s">
        <v>67</v>
      </c>
      <c r="J31" s="117" t="s">
        <v>64</v>
      </c>
      <c r="K31" s="117" t="s">
        <v>65</v>
      </c>
      <c r="L31" s="117" t="s">
        <v>66</v>
      </c>
      <c r="M31" s="117" t="s">
        <v>67</v>
      </c>
    </row>
    <row r="32" spans="2:13">
      <c r="B32" s="62" t="s">
        <v>68</v>
      </c>
      <c r="C32" s="119">
        <f>C53</f>
        <v>3024.042</v>
      </c>
      <c r="E32" s="120"/>
      <c r="F32" s="120"/>
      <c r="G32" s="120"/>
      <c r="H32" s="121"/>
      <c r="J32" s="120"/>
      <c r="K32" s="120"/>
      <c r="L32" s="120"/>
      <c r="M32" s="121">
        <v>4</v>
      </c>
    </row>
    <row r="33" s="54" customFormat="1" spans="1:13">
      <c r="A33" s="99"/>
      <c r="B33" s="122" t="s">
        <v>69</v>
      </c>
      <c r="C33" s="54">
        <f>C31/C32-1</f>
        <v>0.988099867660569</v>
      </c>
      <c r="E33" s="123" t="s">
        <v>70</v>
      </c>
      <c r="F33" s="123" t="s">
        <v>70</v>
      </c>
      <c r="G33" s="123" t="s">
        <v>70</v>
      </c>
      <c r="H33" s="123"/>
      <c r="J33" s="123" t="s">
        <v>70</v>
      </c>
      <c r="K33" s="123" t="s">
        <v>70</v>
      </c>
      <c r="L33" s="123" t="s">
        <v>70</v>
      </c>
      <c r="M33" s="123"/>
    </row>
    <row r="34" spans="2:13">
      <c r="B34" s="124" t="s">
        <v>71</v>
      </c>
      <c r="C34" s="125">
        <f>C39</f>
        <v>48.54</v>
      </c>
      <c r="E34" s="75"/>
      <c r="F34" s="75"/>
      <c r="G34" s="75"/>
      <c r="H34" s="75"/>
      <c r="J34" s="75"/>
      <c r="K34" s="75"/>
      <c r="L34" s="75"/>
      <c r="M34" s="75"/>
    </row>
    <row r="35" s="56" customFormat="1" spans="1:13">
      <c r="A35" s="126"/>
      <c r="B35" s="124" t="s">
        <v>72</v>
      </c>
      <c r="C35" s="56">
        <f>(1+C33)*C34</f>
        <v>96.502367576244</v>
      </c>
      <c r="E35" s="120">
        <v>91.85</v>
      </c>
      <c r="F35" s="120">
        <v>60</v>
      </c>
      <c r="G35" s="120">
        <v>150</v>
      </c>
      <c r="H35" s="121">
        <v>13</v>
      </c>
      <c r="J35" s="120"/>
      <c r="K35" s="120"/>
      <c r="L35" s="120"/>
      <c r="M35" s="120"/>
    </row>
    <row r="37" s="57" customFormat="1" spans="1:2">
      <c r="A37" s="127"/>
      <c r="B37" s="128" t="s">
        <v>73</v>
      </c>
    </row>
    <row r="38" s="58" customFormat="1" ht="15" outlineLevel="1" spans="1:3">
      <c r="A38" s="127"/>
      <c r="B38" s="129" t="s">
        <v>74</v>
      </c>
      <c r="C38" s="130">
        <v>43691</v>
      </c>
    </row>
    <row r="39" s="58" customFormat="1" ht="15" outlineLevel="1" spans="1:3">
      <c r="A39" s="127"/>
      <c r="B39" s="131" t="s">
        <v>71</v>
      </c>
      <c r="C39" s="132">
        <v>48.54</v>
      </c>
    </row>
    <row r="40" s="58" customFormat="1" ht="15" outlineLevel="1" spans="1:7">
      <c r="A40" s="127"/>
      <c r="B40" s="129" t="s">
        <v>75</v>
      </c>
      <c r="C40" s="133">
        <v>57</v>
      </c>
      <c r="G40" s="134"/>
    </row>
    <row r="41" s="58" customFormat="1" ht="15" outlineLevel="1" spans="1:3">
      <c r="A41" s="127"/>
      <c r="B41" s="129" t="s">
        <v>76</v>
      </c>
      <c r="C41" s="135">
        <f>C39*C40</f>
        <v>2766.78</v>
      </c>
    </row>
    <row r="42" s="58" customFormat="1" ht="15" outlineLevel="1" spans="1:2">
      <c r="A42" s="127"/>
      <c r="B42" s="136"/>
    </row>
    <row r="43" s="58" customFormat="1" ht="15" outlineLevel="1" spans="1:2">
      <c r="A43" s="127"/>
      <c r="B43" s="129" t="s">
        <v>77</v>
      </c>
    </row>
    <row r="44" s="59" customFormat="1" ht="63" outlineLevel="1" spans="1:5">
      <c r="A44" s="137"/>
      <c r="B44" s="138"/>
      <c r="C44" s="139" t="s">
        <v>78</v>
      </c>
      <c r="D44" s="139" t="s">
        <v>79</v>
      </c>
      <c r="E44" s="139" t="s">
        <v>80</v>
      </c>
    </row>
    <row r="45" s="58" customFormat="1" outlineLevel="1" spans="1:8">
      <c r="A45" s="127"/>
      <c r="B45" s="136" t="s">
        <v>81</v>
      </c>
      <c r="C45" s="140">
        <v>3.7</v>
      </c>
      <c r="D45" s="141">
        <v>34.33</v>
      </c>
      <c r="E45" s="142" t="s">
        <v>82</v>
      </c>
      <c r="H45" s="143"/>
    </row>
    <row r="46" s="58" customFormat="1" ht="15" outlineLevel="1" spans="1:9">
      <c r="A46" s="127"/>
      <c r="B46" s="129" t="s">
        <v>83</v>
      </c>
      <c r="C46" s="144">
        <v>0</v>
      </c>
      <c r="D46" s="141">
        <v>0</v>
      </c>
      <c r="E46" s="142" t="s">
        <v>84</v>
      </c>
      <c r="I46" s="134"/>
    </row>
    <row r="47" s="58" customFormat="1" outlineLevel="1" spans="1:9">
      <c r="A47" s="127"/>
      <c r="B47" s="129" t="s">
        <v>85</v>
      </c>
      <c r="C47" s="144">
        <v>0</v>
      </c>
      <c r="D47" s="141">
        <v>0</v>
      </c>
      <c r="E47" s="142" t="s">
        <v>84</v>
      </c>
      <c r="H47" s="143"/>
      <c r="I47" s="134"/>
    </row>
    <row r="48" s="58" customFormat="1" outlineLevel="1" spans="1:8">
      <c r="A48" s="127"/>
      <c r="B48" s="129" t="s">
        <v>86</v>
      </c>
      <c r="C48" s="140">
        <v>1.6</v>
      </c>
      <c r="D48" s="141">
        <v>47.9</v>
      </c>
      <c r="E48" s="142" t="s">
        <v>82</v>
      </c>
      <c r="H48" s="143"/>
    </row>
    <row r="49" s="58" customFormat="1" outlineLevel="1" spans="1:8">
      <c r="A49" s="127"/>
      <c r="B49" s="129" t="s">
        <v>87</v>
      </c>
      <c r="C49" s="144">
        <v>0</v>
      </c>
      <c r="D49" s="141">
        <v>0</v>
      </c>
      <c r="E49" s="142" t="s">
        <v>84</v>
      </c>
      <c r="H49" s="143"/>
    </row>
    <row r="50" s="60" customFormat="1" outlineLevel="1" spans="1:3">
      <c r="A50" s="145"/>
      <c r="B50" s="146" t="s">
        <v>88</v>
      </c>
      <c r="C50" s="147">
        <f>SUMIF(E45:E49,"Y",C45:C49)</f>
        <v>5.3</v>
      </c>
    </row>
    <row r="51" s="58" customFormat="1" ht="15" outlineLevel="1" spans="1:2">
      <c r="A51" s="127"/>
      <c r="B51" s="136"/>
    </row>
    <row r="52" s="58" customFormat="1" ht="15" outlineLevel="1" spans="1:3">
      <c r="A52" s="127"/>
      <c r="B52" s="129" t="s">
        <v>89</v>
      </c>
      <c r="C52" s="148">
        <f>C40+C50</f>
        <v>62.3</v>
      </c>
    </row>
    <row r="53" s="58" customFormat="1" ht="15" outlineLevel="1" spans="1:3">
      <c r="A53" s="127"/>
      <c r="B53" s="129" t="s">
        <v>90</v>
      </c>
      <c r="C53" s="142">
        <f>C39*C52</f>
        <v>3024.042</v>
      </c>
    </row>
    <row r="58" s="52" customFormat="1" spans="1:2">
      <c r="A58" s="67"/>
      <c r="B58" s="71" t="e">
        <f>IF('Peak Sales'!#REF!="","",'Peak Sales'!#REF!)</f>
        <v>#REF!</v>
      </c>
    </row>
    <row r="59" spans="2:2">
      <c r="B59" s="62" t="e">
        <f>IF('Peak Sales'!#REF!="","",'Peak Sales'!#REF!)</f>
        <v>#REF!</v>
      </c>
    </row>
    <row r="60" spans="2:2">
      <c r="B60" s="62" t="e">
        <f>IF('Peak Sales'!#REF!="","",'Peak Sales'!#REF!)</f>
        <v>#REF!</v>
      </c>
    </row>
    <row r="61" spans="2:2">
      <c r="B61" s="62" t="e">
        <f>IF('Peak Sales'!#REF!="","",'Peak Sales'!#REF!)</f>
        <v>#REF!</v>
      </c>
    </row>
    <row r="62" spans="2:2">
      <c r="B62" s="62" t="e">
        <f>IF('Peak Sales'!#REF!="","",'Peak Sales'!#REF!)</f>
        <v>#REF!</v>
      </c>
    </row>
    <row r="63" spans="2:2">
      <c r="B63" s="62" t="e">
        <f>IF('Peak Sales'!#REF!="","",'Peak Sales'!#REF!)</f>
        <v>#REF!</v>
      </c>
    </row>
    <row r="64" spans="2:2">
      <c r="B64" s="62" t="e">
        <f>IF('Peak Sales'!#REF!="","",'Peak Sales'!#REF!)</f>
        <v>#REF!</v>
      </c>
    </row>
    <row r="65" spans="2:2">
      <c r="B65" s="62" t="e">
        <f>IF('Peak Sales'!#REF!="","",'Peak Sales'!#REF!)</f>
        <v>#REF!</v>
      </c>
    </row>
    <row r="66" spans="2:2">
      <c r="B66" s="62" t="e">
        <f>IF('Peak Sales'!#REF!="","",'Peak Sales'!#REF!)</f>
        <v>#REF!</v>
      </c>
    </row>
    <row r="67" spans="2:2">
      <c r="B67" s="62" t="e">
        <f>IF('Peak Sales'!#REF!="","",'Peak Sales'!#REF!)</f>
        <v>#REF!</v>
      </c>
    </row>
    <row r="68" spans="2:2">
      <c r="B68" s="62" t="e">
        <f>IF('Peak Sales'!#REF!="","",'Peak Sales'!#REF!)</f>
        <v>#REF!</v>
      </c>
    </row>
  </sheetData>
  <mergeCells count="6">
    <mergeCell ref="C27:D27"/>
    <mergeCell ref="E27:F27"/>
    <mergeCell ref="C28:D28"/>
    <mergeCell ref="E28:F28"/>
    <mergeCell ref="E30:H30"/>
    <mergeCell ref="J30:M30"/>
  </mergeCells>
  <pageMargins left="0.699305555555556" right="0.699305555555556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0"/>
  <sheetViews>
    <sheetView zoomScale="150" zoomScaleNormal="150" workbookViewId="0">
      <selection activeCell="G7" sqref="G7"/>
    </sheetView>
  </sheetViews>
  <sheetFormatPr defaultColWidth="10.8333333333333" defaultRowHeight="15.75" outlineLevelCol="6"/>
  <cols>
    <col min="1" max="1" width="9" style="21" customWidth="1"/>
    <col min="2" max="2" width="10.8333333333333" style="21"/>
    <col min="3" max="3" width="23.6666666666667" style="21" customWidth="1"/>
    <col min="4" max="4" width="36.8333333333333" style="21" customWidth="1"/>
    <col min="5" max="5" width="22.6666666666667" style="21" customWidth="1"/>
    <col min="6" max="6" width="11.3333333333333" style="22" customWidth="1"/>
    <col min="7" max="7" width="11" style="23" customWidth="1"/>
    <col min="8" max="16384" width="10.8333333333333" style="21"/>
  </cols>
  <sheetData>
    <row r="1" s="20" customFormat="1" ht="21" spans="2:7">
      <c r="B1" s="24" t="s">
        <v>17</v>
      </c>
      <c r="C1" s="24"/>
      <c r="D1" s="24"/>
      <c r="E1" s="24"/>
      <c r="F1" s="25"/>
      <c r="G1" s="26"/>
    </row>
    <row r="2" ht="31.5" spans="2:7">
      <c r="B2" s="27" t="s">
        <v>74</v>
      </c>
      <c r="C2" s="28" t="s">
        <v>91</v>
      </c>
      <c r="D2" s="28" t="s">
        <v>92</v>
      </c>
      <c r="E2" s="28" t="s">
        <v>93</v>
      </c>
      <c r="F2" s="29" t="s">
        <v>94</v>
      </c>
      <c r="G2" s="30" t="s">
        <v>95</v>
      </c>
    </row>
    <row r="3" spans="2:7">
      <c r="B3" s="31"/>
      <c r="C3" s="32"/>
      <c r="D3" s="32"/>
      <c r="E3" s="32"/>
      <c r="F3" s="33"/>
      <c r="G3" s="34"/>
    </row>
    <row r="4" ht="31.5" spans="2:7">
      <c r="B4" s="35" t="s">
        <v>96</v>
      </c>
      <c r="C4" s="36" t="s">
        <v>97</v>
      </c>
      <c r="D4" s="37" t="s">
        <v>98</v>
      </c>
      <c r="E4" s="38" t="s">
        <v>99</v>
      </c>
      <c r="F4" s="39" t="s">
        <v>100</v>
      </c>
      <c r="G4" s="40" t="s">
        <v>101</v>
      </c>
    </row>
    <row r="5" ht="31.5" spans="2:7">
      <c r="B5" s="41" t="s">
        <v>96</v>
      </c>
      <c r="C5" s="42" t="s">
        <v>102</v>
      </c>
      <c r="D5" s="43" t="s">
        <v>98</v>
      </c>
      <c r="E5" s="38" t="s">
        <v>99</v>
      </c>
      <c r="F5" s="39" t="s">
        <v>100</v>
      </c>
      <c r="G5" s="40" t="s">
        <v>101</v>
      </c>
    </row>
    <row r="6" ht="25.5" spans="2:7">
      <c r="B6" s="44" t="s">
        <v>103</v>
      </c>
      <c r="C6" s="36" t="s">
        <v>104</v>
      </c>
      <c r="D6" s="45" t="s">
        <v>105</v>
      </c>
      <c r="E6" s="38" t="s">
        <v>99</v>
      </c>
      <c r="F6" s="39" t="s">
        <v>100</v>
      </c>
      <c r="G6" s="40" t="s">
        <v>101</v>
      </c>
    </row>
    <row r="7" ht="25.5" spans="2:7">
      <c r="B7" s="44">
        <v>2020</v>
      </c>
      <c r="C7" s="36" t="s">
        <v>106</v>
      </c>
      <c r="D7" s="45" t="s">
        <v>105</v>
      </c>
      <c r="E7" s="38" t="s">
        <v>99</v>
      </c>
      <c r="F7" s="39" t="s">
        <v>100</v>
      </c>
      <c r="G7" s="40" t="s">
        <v>101</v>
      </c>
    </row>
    <row r="8" ht="25.5" spans="2:7">
      <c r="B8" s="44" t="s">
        <v>107</v>
      </c>
      <c r="C8" s="36" t="s">
        <v>108</v>
      </c>
      <c r="D8" s="45" t="s">
        <v>105</v>
      </c>
      <c r="E8" s="38" t="s">
        <v>99</v>
      </c>
      <c r="F8" s="39" t="s">
        <v>100</v>
      </c>
      <c r="G8" s="40" t="s">
        <v>101</v>
      </c>
    </row>
    <row r="9" ht="16.5" spans="2:7">
      <c r="B9" s="46"/>
      <c r="C9" s="47"/>
      <c r="D9" s="47"/>
      <c r="E9" s="47"/>
      <c r="F9" s="48"/>
      <c r="G9" s="49"/>
    </row>
    <row r="10" spans="4:4">
      <c r="D10" s="50"/>
    </row>
  </sheetData>
  <pageMargins left="0.699305555555556" right="0.699305555555556" top="0.75" bottom="0.75" header="0.3" footer="0.3"/>
  <pageSetup paperSize="1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40" zoomScaleNormal="140" workbookViewId="0">
      <selection activeCell="D23" sqref="D23"/>
    </sheetView>
  </sheetViews>
  <sheetFormatPr defaultColWidth="10.8333333333333" defaultRowHeight="15.75"/>
  <cols>
    <col min="1" max="1" width="10.8333333333333" style="3"/>
    <col min="2" max="2" width="12.6666666666667" style="4" customWidth="1"/>
    <col min="3" max="3" width="9.33333333333333" style="5" customWidth="1"/>
    <col min="4" max="4" width="9.66666666666667" style="5" customWidth="1"/>
    <col min="5" max="5" width="10.8333333333333" style="6"/>
    <col min="6" max="6" width="11.6666666666667" style="7" customWidth="1"/>
    <col min="7" max="7" width="15" style="8" customWidth="1"/>
    <col min="8" max="8" width="13.8333333333333" style="8" customWidth="1"/>
    <col min="9" max="9" width="13.1666666666667" style="8" customWidth="1"/>
    <col min="10" max="10" width="18.1666666666667" style="9" customWidth="1"/>
    <col min="11" max="11" width="17" style="3" customWidth="1"/>
    <col min="12" max="12" width="19.8333333333333" style="10" customWidth="1"/>
    <col min="13" max="13" width="21.6666666666667" style="10" customWidth="1"/>
    <col min="14" max="16384" width="10.8333333333333" style="10"/>
  </cols>
  <sheetData>
    <row r="1" s="1" customFormat="1" ht="20.25" spans="1:5">
      <c r="A1" s="1" t="s">
        <v>109</v>
      </c>
      <c r="E1" s="11"/>
    </row>
    <row r="3" s="2" customFormat="1" ht="31.5" spans="1:13">
      <c r="A3" s="12" t="s">
        <v>74</v>
      </c>
      <c r="B3" s="13" t="s">
        <v>110</v>
      </c>
      <c r="C3" s="14" t="s">
        <v>111</v>
      </c>
      <c r="D3" s="14" t="s">
        <v>112</v>
      </c>
      <c r="E3" s="15" t="s">
        <v>113</v>
      </c>
      <c r="F3" s="16" t="s">
        <v>114</v>
      </c>
      <c r="G3" s="17" t="s">
        <v>115</v>
      </c>
      <c r="H3" s="17" t="s">
        <v>116</v>
      </c>
      <c r="I3" s="17" t="s">
        <v>117</v>
      </c>
      <c r="J3" s="18" t="s">
        <v>118</v>
      </c>
      <c r="K3" s="12" t="s">
        <v>119</v>
      </c>
      <c r="L3" s="2" t="s">
        <v>120</v>
      </c>
      <c r="M3" s="2" t="s">
        <v>121</v>
      </c>
    </row>
    <row r="4" spans="5:10">
      <c r="E4" s="6" t="str">
        <f>IF(D4="","",C4/D4-1)</f>
        <v/>
      </c>
      <c r="F4" s="7" t="str">
        <f>IF(C4="","",B4*C4)</f>
        <v/>
      </c>
      <c r="H4" s="8" t="str">
        <f>IF(G4="","",F4+G4)</f>
        <v/>
      </c>
      <c r="J4" s="19" t="str">
        <f>IF(I4="","",G4/I4)</f>
        <v/>
      </c>
    </row>
    <row r="5" spans="5:5">
      <c r="E5" s="6" t="str">
        <f t="shared" ref="E5:E15" si="0">IF(D5="","",C5/D5-1)</f>
        <v/>
      </c>
    </row>
    <row r="6" spans="5:5">
      <c r="E6" s="6" t="str">
        <f t="shared" si="0"/>
        <v/>
      </c>
    </row>
    <row r="7" spans="5:5">
      <c r="E7" s="6" t="str">
        <f t="shared" si="0"/>
        <v/>
      </c>
    </row>
    <row r="8" spans="5:5">
      <c r="E8" s="6" t="str">
        <f t="shared" si="0"/>
        <v/>
      </c>
    </row>
    <row r="9" spans="5:5">
      <c r="E9" s="6" t="str">
        <f t="shared" si="0"/>
        <v/>
      </c>
    </row>
    <row r="10" spans="5:5">
      <c r="E10" s="6" t="str">
        <f t="shared" si="0"/>
        <v/>
      </c>
    </row>
    <row r="11" spans="5:5">
      <c r="E11" s="6" t="str">
        <f t="shared" si="0"/>
        <v/>
      </c>
    </row>
    <row r="12" spans="5:5">
      <c r="E12" s="6" t="str">
        <f t="shared" si="0"/>
        <v/>
      </c>
    </row>
    <row r="13" spans="5:5">
      <c r="E13" s="6" t="str">
        <f t="shared" si="0"/>
        <v/>
      </c>
    </row>
    <row r="14" spans="5:5">
      <c r="E14" s="6" t="str">
        <f t="shared" si="0"/>
        <v/>
      </c>
    </row>
    <row r="15" spans="5:5">
      <c r="E15" s="6" t="str">
        <f t="shared" si="0"/>
        <v/>
      </c>
    </row>
  </sheetData>
  <pageMargins left="0.699305555555556" right="0.699305555555556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Partnerships</vt:lpstr>
      <vt:lpstr>Peak Sales</vt:lpstr>
      <vt:lpstr>PT</vt:lpstr>
      <vt:lpstr>Catalysts</vt:lpstr>
      <vt:lpstr>Dilution History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frank</cp:lastModifiedBy>
  <dcterms:created xsi:type="dcterms:W3CDTF">2015-03-05T17:20:00Z</dcterms:created>
  <dcterms:modified xsi:type="dcterms:W3CDTF">2019-08-17T22:54:41Z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