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661" activeTab="1"/>
  </bookViews>
  <sheets>
    <sheet name="Partnerships" sheetId="18" r:id="rId1"/>
    <sheet name="Peak Sales" sheetId="16" r:id="rId2"/>
    <sheet name="PT" sheetId="17" r:id="rId3"/>
    <sheet name="Catalysts" sheetId="20" r:id="rId4"/>
    <sheet name="Dilution History" sheetId="21" r:id="rId5"/>
  </sheets>
  <calcPr calcId="144525"/>
</workbook>
</file>

<file path=xl/sharedStrings.xml><?xml version="1.0" encoding="utf-8"?>
<sst xmlns="http://schemas.openxmlformats.org/spreadsheetml/2006/main" count="167" uniqueCount="115">
  <si>
    <t xml:space="preserve">AKBA </t>
  </si>
  <si>
    <t>Date Announced</t>
  </si>
  <si>
    <t>Commercial Name</t>
  </si>
  <si>
    <t>Drug Name</t>
  </si>
  <si>
    <t>Territory</t>
  </si>
  <si>
    <t>Partner</t>
  </si>
  <si>
    <t>Partner Relationship</t>
  </si>
  <si>
    <t>Upfront Payment</t>
  </si>
  <si>
    <t>Potential Deveopment Milestones</t>
  </si>
  <si>
    <t>Development Milestones Received</t>
  </si>
  <si>
    <t>Potential Regulatory Milestones</t>
  </si>
  <si>
    <t>Regulatory Milestones Received</t>
  </si>
  <si>
    <t>Potential Commercial Milestones</t>
  </si>
  <si>
    <t>Commercial Milestones Received</t>
  </si>
  <si>
    <t>Royalty</t>
  </si>
  <si>
    <t>Notes</t>
  </si>
  <si>
    <t>GLOSSARY</t>
  </si>
  <si>
    <t>GBT</t>
  </si>
  <si>
    <t>US</t>
  </si>
  <si>
    <t>Probability Of Approval</t>
  </si>
  <si>
    <t>EU</t>
  </si>
  <si>
    <t>Voxelotor</t>
  </si>
  <si>
    <t>Indication</t>
  </si>
  <si>
    <t>Sickle Cell Diease</t>
  </si>
  <si>
    <t>Status</t>
  </si>
  <si>
    <t>Waiting for FDA to be Aproved</t>
  </si>
  <si>
    <t>Market Share</t>
  </si>
  <si>
    <t>Commercial Probability</t>
  </si>
  <si>
    <t>Approval-Adjusted Probability</t>
  </si>
  <si>
    <t>Patient Pool</t>
  </si>
  <si>
    <t>Patients Treated</t>
  </si>
  <si>
    <t>Annual List Price</t>
  </si>
  <si>
    <t>Gross Sales</t>
  </si>
  <si>
    <t>Gross-to-Net Reduction</t>
  </si>
  <si>
    <t>Net Sales</t>
  </si>
  <si>
    <t>Royalty to XXXX</t>
  </si>
  <si>
    <t>Royalty Revs</t>
  </si>
  <si>
    <t>Check</t>
  </si>
  <si>
    <t>Expected Peak Net Sales</t>
  </si>
  <si>
    <t>Expected Peak Royalty Revs</t>
  </si>
  <si>
    <t>Total Expected Peak Revs</t>
  </si>
  <si>
    <t>ex-US</t>
  </si>
  <si>
    <t xml:space="preserve">   Peak sales</t>
  </si>
  <si>
    <t xml:space="preserve">   Royalty revs</t>
  </si>
  <si>
    <t>Total revs</t>
  </si>
  <si>
    <t xml:space="preserve">   COGS</t>
  </si>
  <si>
    <t xml:space="preserve">   Gross margin</t>
  </si>
  <si>
    <t>Gross profit</t>
  </si>
  <si>
    <t xml:space="preserve">   Less: commercialization costs</t>
  </si>
  <si>
    <t>Pretax income</t>
  </si>
  <si>
    <t xml:space="preserve">   Tax rate</t>
  </si>
  <si>
    <t xml:space="preserve">   Less: tax</t>
  </si>
  <si>
    <t>Net income</t>
  </si>
  <si>
    <t xml:space="preserve">   Net income margin</t>
  </si>
  <si>
    <t xml:space="preserve">   Target P/E (x)</t>
  </si>
  <si>
    <t>Value of drug by territory</t>
  </si>
  <si>
    <t>Total value of</t>
  </si>
  <si>
    <t>Rolontis</t>
  </si>
  <si>
    <t>Poziontinib</t>
  </si>
  <si>
    <t>2019 ESTIMATES</t>
  </si>
  <si>
    <t>2020 ESTIMATES</t>
  </si>
  <si>
    <t>Total value</t>
  </si>
  <si>
    <t>Consensus</t>
  </si>
  <si>
    <t>Low</t>
  </si>
  <si>
    <t>High</t>
  </si>
  <si>
    <t># Analysts</t>
  </si>
  <si>
    <t>Diluted mkt cap</t>
  </si>
  <si>
    <t>Upside</t>
  </si>
  <si>
    <t/>
  </si>
  <si>
    <t>Current price</t>
  </si>
  <si>
    <t>PT</t>
  </si>
  <si>
    <t>Diluted Market Cap Calculation</t>
  </si>
  <si>
    <t>Date</t>
  </si>
  <si>
    <t>Diluted WASO</t>
  </si>
  <si>
    <t>Reported mkt cap</t>
  </si>
  <si>
    <t>SHARES EXCLUDED FROM DILUTED SHARE COUNT</t>
  </si>
  <si>
    <t># shares</t>
  </si>
  <si>
    <t>Weighted Avg Exercise Price</t>
  </si>
  <si>
    <t>Include in diluted market cap?</t>
  </si>
  <si>
    <t>Options (expired)</t>
  </si>
  <si>
    <t>N</t>
  </si>
  <si>
    <t>1 warrant (to purchase 84.5M)</t>
  </si>
  <si>
    <t>RSAs</t>
  </si>
  <si>
    <t>RSUs</t>
  </si>
  <si>
    <t>Performance unit</t>
  </si>
  <si>
    <t>TOTAL ADDITIONAL SHARES</t>
  </si>
  <si>
    <t>Total diluted share count</t>
  </si>
  <si>
    <t>Diluted market cap</t>
  </si>
  <si>
    <t>Event</t>
  </si>
  <si>
    <t>Source</t>
  </si>
  <si>
    <t>Drug</t>
  </si>
  <si>
    <t>Probability Of Success</t>
  </si>
  <si>
    <t>Estimated Move</t>
  </si>
  <si>
    <t>1H 2020</t>
  </si>
  <si>
    <t>Priority review &amp; FDA approval</t>
  </si>
  <si>
    <t>https://seekingalpha.com/article/4278609-totality-voxelotor-phase-3-data-increases-conviction-global-blood-therapeutics</t>
  </si>
  <si>
    <r>
      <rPr>
        <sz val="11.4"/>
        <color rgb="FF565656"/>
        <rFont val="Helvetica"/>
        <charset val="134"/>
      </rPr>
      <t>Voxelotor</t>
    </r>
    <r>
      <rPr>
        <sz val="11.4"/>
        <color rgb="FF565656"/>
        <rFont val="Helvetica"/>
        <charset val="134"/>
      </rPr>
      <t> </t>
    </r>
  </si>
  <si>
    <t>NA</t>
  </si>
  <si>
    <t>+/- 5%</t>
  </si>
  <si>
    <t xml:space="preserve"> ICER pharmacoeconomical review </t>
  </si>
  <si>
    <t>2H 2020</t>
  </si>
  <si>
    <t>Voxelotor commercialization</t>
  </si>
  <si>
    <t>TGTX</t>
  </si>
  <si>
    <t>Shares Sold</t>
  </si>
  <si>
    <t>Offering Price</t>
  </si>
  <si>
    <t>Market Price</t>
  </si>
  <si>
    <t>Discount</t>
  </si>
  <si>
    <t>Gross Proceeds</t>
  </si>
  <si>
    <t>Liquidity Pre-Offering</t>
  </si>
  <si>
    <t>Liquidity Post-Offering</t>
  </si>
  <si>
    <t>Cash Burn At Offering</t>
  </si>
  <si>
    <t>Cash Runway Pre-Offering (qtrs)</t>
  </si>
  <si>
    <t>Cash Runway Pre-Offering (date)</t>
  </si>
  <si>
    <t>Management Cash Runway Pre-Offering</t>
  </si>
  <si>
    <t>Management Cash Runway Post-Offering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</si>
</sst>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&quot;M&quot;"/>
    <numFmt numFmtId="177" formatCode="&quot;$&quot;#,##0.00"/>
    <numFmt numFmtId="178" formatCode="0.0"/>
    <numFmt numFmtId="179" formatCode="&quot;$&quot;#,##0.0&quot;M&quot;"/>
    <numFmt numFmtId="180" formatCode="#,##0&quot;M&quot;"/>
    <numFmt numFmtId="181" formatCode="&quot;$&quot;#,##0&quot;M&quot;"/>
    <numFmt numFmtId="182" formatCode="#,##0&quot;qtrs&quot;"/>
    <numFmt numFmtId="183" formatCode="&quot;$&quot;#,##0.00&quot;M&quot;"/>
    <numFmt numFmtId="184" formatCode="&quot;$&quot;#,##0"/>
  </numFmts>
  <fonts count="33">
    <font>
      <sz val="12"/>
      <color theme="1"/>
      <name val="Times"/>
      <charset val="134"/>
    </font>
    <font>
      <b/>
      <sz val="16"/>
      <color theme="1"/>
      <name val="Times"/>
      <charset val="134"/>
    </font>
    <font>
      <b/>
      <sz val="12"/>
      <color theme="1"/>
      <name val="Times"/>
      <charset val="134"/>
    </font>
    <font>
      <sz val="11.4"/>
      <color rgb="FF565656"/>
      <name val="Helvetica"/>
      <charset val="134"/>
    </font>
    <font>
      <sz val="12"/>
      <name val="Times"/>
      <charset val="134"/>
    </font>
    <font>
      <i/>
      <sz val="12"/>
      <color theme="1"/>
      <name val="Times"/>
      <charset val="134"/>
    </font>
    <font>
      <sz val="12"/>
      <color theme="1"/>
      <name val="Times Roman"/>
      <charset val="134"/>
    </font>
    <font>
      <b/>
      <sz val="12"/>
      <color theme="1"/>
      <name val="Times Roman"/>
      <charset val="134"/>
    </font>
    <font>
      <b/>
      <sz val="12"/>
      <color rgb="FF000000"/>
      <name val="Times Roman"/>
      <charset val="134"/>
    </font>
    <font>
      <sz val="12"/>
      <color rgb="FF000000"/>
      <name val="Times Roman"/>
      <charset val="134"/>
    </font>
    <font>
      <u/>
      <sz val="12"/>
      <color theme="10"/>
      <name val="Times Roman"/>
      <charset val="134"/>
    </font>
    <font>
      <u/>
      <sz val="12"/>
      <color theme="10"/>
      <name val="Times"/>
      <charset val="134"/>
    </font>
    <font>
      <sz val="12"/>
      <name val="Times Roman"/>
      <charset val="134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2"/>
      <color rgb="FF800080"/>
      <name val="Times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9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4" fillId="19" borderId="14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5" fillId="25" borderId="15" applyNumberFormat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25" borderId="13" applyNumberFormat="0" applyAlignment="0" applyProtection="0">
      <alignment vertical="center"/>
    </xf>
    <xf numFmtId="0" fontId="16" fillId="8" borderId="12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</cellStyleXfs>
  <cellXfs count="140">
    <xf numFmtId="0" fontId="0" fillId="0" borderId="0" xfId="0"/>
    <xf numFmtId="0" fontId="1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7" fontId="0" fillId="0" borderId="0" xfId="0" applyNumberFormat="1" applyAlignment="1">
      <alignment horizontal="left"/>
    </xf>
    <xf numFmtId="9" fontId="0" fillId="0" borderId="0" xfId="11" applyFont="1" applyAlignment="1">
      <alignment horizontal="left"/>
    </xf>
    <xf numFmtId="179" fontId="0" fillId="0" borderId="0" xfId="0" applyNumberFormat="1" applyAlignment="1">
      <alignment horizontal="left"/>
    </xf>
    <xf numFmtId="181" fontId="0" fillId="0" borderId="0" xfId="0" applyNumberFormat="1" applyAlignment="1">
      <alignment horizontal="left"/>
    </xf>
    <xf numFmtId="182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1" fillId="0" borderId="0" xfId="11" applyNumberFormat="1" applyFont="1" applyAlignment="1">
      <alignment horizontal="left"/>
    </xf>
    <xf numFmtId="14" fontId="2" fillId="0" borderId="0" xfId="0" applyNumberFormat="1" applyFont="1" applyAlignment="1">
      <alignment horizontal="center" wrapText="1"/>
    </xf>
    <xf numFmtId="176" fontId="2" fillId="0" borderId="0" xfId="0" applyNumberFormat="1" applyFont="1" applyAlignment="1">
      <alignment horizontal="center" wrapText="1"/>
    </xf>
    <xf numFmtId="177" fontId="2" fillId="0" borderId="0" xfId="0" applyNumberFormat="1" applyFont="1" applyAlignment="1">
      <alignment horizontal="center" wrapText="1"/>
    </xf>
    <xf numFmtId="9" fontId="2" fillId="0" borderId="0" xfId="11" applyFont="1" applyAlignment="1">
      <alignment horizontal="center" wrapText="1"/>
    </xf>
    <xf numFmtId="179" fontId="2" fillId="0" borderId="0" xfId="0" applyNumberFormat="1" applyFont="1" applyAlignment="1">
      <alignment horizontal="center" wrapText="1"/>
    </xf>
    <xf numFmtId="181" fontId="2" fillId="0" borderId="0" xfId="0" applyNumberFormat="1" applyFont="1" applyAlignment="1">
      <alignment horizontal="center" wrapText="1"/>
    </xf>
    <xf numFmtId="182" fontId="2" fillId="0" borderId="0" xfId="0" applyNumberFormat="1" applyFont="1" applyAlignment="1">
      <alignment horizontal="center" wrapText="1"/>
    </xf>
    <xf numFmtId="178" fontId="0" fillId="0" borderId="0" xfId="0" applyNumberFormat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9" fontId="0" fillId="0" borderId="0" xfId="11" applyFont="1" applyBorder="1" applyAlignment="1">
      <alignment horizontal="right" indent="1"/>
    </xf>
    <xf numFmtId="49" fontId="0" fillId="0" borderId="0" xfId="0" applyNumberFormat="1" applyBorder="1" applyAlignment="1">
      <alignment horizontal="right" indent="1"/>
    </xf>
    <xf numFmtId="0" fontId="1" fillId="0" borderId="0" xfId="11" applyNumberFormat="1" applyFont="1" applyBorder="1" applyAlignment="1">
      <alignment horizontal="right" indent="1"/>
    </xf>
    <xf numFmtId="49" fontId="1" fillId="0" borderId="0" xfId="0" applyNumberFormat="1" applyFont="1" applyBorder="1" applyAlignment="1">
      <alignment horizontal="right" indent="1"/>
    </xf>
    <xf numFmtId="0" fontId="2" fillId="2" borderId="0" xfId="0" applyFont="1" applyFill="1" applyBorder="1" applyAlignment="1">
      <alignment horizontal="center" wrapText="1"/>
    </xf>
    <xf numFmtId="9" fontId="2" fillId="2" borderId="0" xfId="11" applyFont="1" applyFill="1" applyBorder="1" applyAlignment="1">
      <alignment horizontal="center" wrapText="1"/>
    </xf>
    <xf numFmtId="49" fontId="2" fillId="2" borderId="0" xfId="0" applyNumberFormat="1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10" applyFont="1" applyBorder="1" applyAlignment="1"/>
    <xf numFmtId="0" fontId="0" fillId="0" borderId="0" xfId="0" applyFill="1" applyBorder="1" applyAlignment="1"/>
    <xf numFmtId="181" fontId="1" fillId="0" borderId="0" xfId="0" applyNumberFormat="1" applyFont="1" applyAlignment="1">
      <alignment horizontal="right" indent="1"/>
    </xf>
    <xf numFmtId="181" fontId="2" fillId="0" borderId="0" xfId="0" applyNumberFormat="1" applyFont="1" applyAlignment="1">
      <alignment horizontal="right" indent="1"/>
    </xf>
    <xf numFmtId="9" fontId="5" fillId="0" borderId="0" xfId="11" applyFont="1" applyAlignment="1">
      <alignment horizontal="right" indent="1"/>
    </xf>
    <xf numFmtId="9" fontId="0" fillId="0" borderId="0" xfId="11" applyFont="1" applyAlignment="1">
      <alignment horizontal="right" indent="1"/>
    </xf>
    <xf numFmtId="1" fontId="0" fillId="0" borderId="0" xfId="0" applyNumberFormat="1" applyAlignment="1">
      <alignment horizontal="right" indent="1"/>
    </xf>
    <xf numFmtId="177" fontId="0" fillId="0" borderId="0" xfId="0" applyNumberFormat="1" applyAlignment="1">
      <alignment horizontal="right" indent="1"/>
    </xf>
    <xf numFmtId="181" fontId="6" fillId="3" borderId="0" xfId="0" applyNumberFormat="1" applyFont="1" applyFill="1" applyAlignment="1">
      <alignment horizontal="right" indent="1"/>
    </xf>
    <xf numFmtId="181" fontId="6" fillId="0" borderId="0" xfId="0" applyNumberFormat="1" applyFont="1" applyAlignment="1">
      <alignment horizontal="right" indent="1"/>
    </xf>
    <xf numFmtId="181" fontId="6" fillId="0" borderId="0" xfId="0" applyNumberFormat="1" applyFont="1" applyAlignment="1">
      <alignment horizontal="center" wrapText="1"/>
    </xf>
    <xf numFmtId="181" fontId="7" fillId="0" borderId="0" xfId="0" applyNumberFormat="1" applyFont="1" applyAlignment="1">
      <alignment horizontal="right" indent="1"/>
    </xf>
    <xf numFmtId="3" fontId="0" fillId="0" borderId="0" xfId="0" applyNumberFormat="1" applyAlignment="1"/>
    <xf numFmtId="181" fontId="0" fillId="0" borderId="0" xfId="0" applyNumberFormat="1" applyAlignment="1">
      <alignment horizontal="right" indent="1"/>
    </xf>
    <xf numFmtId="3" fontId="1" fillId="0" borderId="0" xfId="0" applyNumberFormat="1" applyFont="1" applyAlignment="1"/>
    <xf numFmtId="3" fontId="2" fillId="0" borderId="0" xfId="0" applyNumberFormat="1" applyFont="1" applyAlignment="1"/>
    <xf numFmtId="181" fontId="2" fillId="0" borderId="0" xfId="0" applyNumberFormat="1" applyFont="1" applyAlignment="1">
      <alignment horizontal="center"/>
    </xf>
    <xf numFmtId="181" fontId="2" fillId="0" borderId="1" xfId="0" applyNumberFormat="1" applyFont="1" applyBorder="1" applyAlignment="1">
      <alignment horizontal="right" indent="1"/>
    </xf>
    <xf numFmtId="9" fontId="5" fillId="0" borderId="0" xfId="11" applyFont="1" applyAlignment="1"/>
    <xf numFmtId="1" fontId="0" fillId="0" borderId="0" xfId="0" applyNumberFormat="1" applyAlignment="1"/>
    <xf numFmtId="183" fontId="2" fillId="0" borderId="0" xfId="0" applyNumberFormat="1" applyFont="1" applyAlignment="1">
      <alignment horizontal="right" indent="1"/>
    </xf>
    <xf numFmtId="3" fontId="2" fillId="0" borderId="0" xfId="0" applyNumberFormat="1" applyFont="1" applyAlignment="1">
      <alignment horizontal="left"/>
    </xf>
    <xf numFmtId="181" fontId="0" fillId="4" borderId="0" xfId="0" applyNumberFormat="1" applyFill="1" applyAlignment="1">
      <alignment horizontal="right" indent="1"/>
    </xf>
    <xf numFmtId="177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9" fontId="0" fillId="0" borderId="0" xfId="11" applyFont="1" applyAlignment="1"/>
    <xf numFmtId="9" fontId="0" fillId="0" borderId="0" xfId="11" applyFont="1" applyAlignment="1">
      <alignment horizontal="center"/>
    </xf>
    <xf numFmtId="177" fontId="0" fillId="0" borderId="0" xfId="0" applyNumberFormat="1" applyAlignment="1"/>
    <xf numFmtId="181" fontId="0" fillId="0" borderId="0" xfId="0" applyNumberFormat="1" applyFont="1" applyAlignment="1">
      <alignment horizontal="center"/>
    </xf>
    <xf numFmtId="3" fontId="8" fillId="3" borderId="0" xfId="0" applyNumberFormat="1" applyFont="1" applyFill="1" applyAlignment="1"/>
    <xf numFmtId="3" fontId="9" fillId="0" borderId="0" xfId="0" applyNumberFormat="1" applyFont="1" applyAlignment="1"/>
    <xf numFmtId="14" fontId="9" fillId="5" borderId="0" xfId="0" applyNumberFormat="1" applyFont="1" applyFill="1" applyAlignment="1">
      <alignment horizontal="right" indent="1"/>
    </xf>
    <xf numFmtId="177" fontId="6" fillId="0" borderId="0" xfId="0" applyNumberFormat="1" applyFont="1" applyAlignment="1"/>
    <xf numFmtId="177" fontId="6" fillId="5" borderId="0" xfId="0" applyNumberFormat="1" applyFont="1" applyFill="1" applyAlignment="1">
      <alignment horizontal="right" indent="1"/>
    </xf>
    <xf numFmtId="180" fontId="9" fillId="5" borderId="0" xfId="0" applyNumberFormat="1" applyFont="1" applyFill="1" applyAlignment="1">
      <alignment horizontal="right" indent="1"/>
    </xf>
    <xf numFmtId="181" fontId="10" fillId="0" borderId="0" xfId="10" applyNumberFormat="1" applyFont="1" applyAlignment="1">
      <alignment horizontal="right" indent="1"/>
    </xf>
    <xf numFmtId="181" fontId="9" fillId="4" borderId="0" xfId="0" applyNumberFormat="1" applyFont="1" applyFill="1" applyAlignment="1">
      <alignment horizontal="right" indent="1"/>
    </xf>
    <xf numFmtId="3" fontId="6" fillId="0" borderId="0" xfId="0" applyNumberFormat="1" applyFont="1" applyAlignment="1"/>
    <xf numFmtId="3" fontId="6" fillId="0" borderId="0" xfId="0" applyNumberFormat="1" applyFont="1" applyAlignment="1">
      <alignment horizontal="center" wrapText="1"/>
    </xf>
    <xf numFmtId="181" fontId="8" fillId="0" borderId="0" xfId="0" applyNumberFormat="1" applyFont="1" applyAlignment="1">
      <alignment horizontal="center" wrapText="1"/>
    </xf>
    <xf numFmtId="180" fontId="9" fillId="0" borderId="0" xfId="0" applyNumberFormat="1" applyFont="1" applyAlignment="1">
      <alignment horizontal="right" indent="1"/>
    </xf>
    <xf numFmtId="177" fontId="9" fillId="0" borderId="0" xfId="0" applyNumberFormat="1" applyFont="1" applyAlignment="1">
      <alignment horizontal="right" indent="1"/>
    </xf>
    <xf numFmtId="181" fontId="9" fillId="0" borderId="0" xfId="0" applyNumberFormat="1" applyFont="1" applyAlignment="1">
      <alignment horizontal="right" indent="1"/>
    </xf>
    <xf numFmtId="181" fontId="11" fillId="0" borderId="0" xfId="10" applyNumberFormat="1" applyAlignment="1">
      <alignment horizontal="right" indent="1"/>
    </xf>
    <xf numFmtId="3" fontId="8" fillId="0" borderId="0" xfId="0" applyNumberFormat="1" applyFont="1" applyAlignment="1"/>
    <xf numFmtId="180" fontId="2" fillId="0" borderId="0" xfId="0" applyNumberFormat="1" applyFont="1" applyAlignment="1">
      <alignment horizontal="right" indent="1"/>
    </xf>
    <xf numFmtId="180" fontId="6" fillId="0" borderId="0" xfId="0" applyNumberFormat="1" applyFont="1" applyAlignment="1">
      <alignment horizontal="right" indent="1"/>
    </xf>
    <xf numFmtId="0" fontId="1" fillId="0" borderId="0" xfId="0" applyNumberFormat="1" applyFont="1"/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49" fontId="1" fillId="0" borderId="0" xfId="0" applyNumberFormat="1" applyFont="1"/>
    <xf numFmtId="0" fontId="7" fillId="6" borderId="2" xfId="43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/>
    </xf>
    <xf numFmtId="0" fontId="7" fillId="6" borderId="4" xfId="43" applyFont="1" applyFill="1" applyBorder="1" applyAlignment="1">
      <alignment horizontal="left" vertical="center"/>
    </xf>
    <xf numFmtId="0" fontId="6" fillId="6" borderId="0" xfId="43" applyFont="1" applyFill="1" applyBorder="1" applyAlignment="1">
      <alignment horizontal="left" vertical="center"/>
    </xf>
    <xf numFmtId="0" fontId="7" fillId="2" borderId="4" xfId="46" applyFont="1" applyFill="1" applyBorder="1" applyAlignment="1">
      <alignment horizontal="center" vertical="center" wrapText="1"/>
    </xf>
    <xf numFmtId="0" fontId="7" fillId="2" borderId="0" xfId="46" applyFont="1" applyFill="1" applyBorder="1" applyAlignment="1">
      <alignment horizontal="center" vertical="center" wrapText="1"/>
    </xf>
    <xf numFmtId="9" fontId="6" fillId="0" borderId="4" xfId="25" applyFont="1" applyBorder="1" applyAlignment="1">
      <alignment horizontal="center" vertical="center"/>
    </xf>
    <xf numFmtId="9" fontId="6" fillId="0" borderId="0" xfId="11" applyFont="1" applyBorder="1" applyAlignment="1">
      <alignment horizontal="center" vertical="center"/>
    </xf>
    <xf numFmtId="9" fontId="12" fillId="0" borderId="0" xfId="11" applyNumberFormat="1" applyFont="1" applyBorder="1" applyAlignment="1">
      <alignment horizontal="center" vertical="center"/>
    </xf>
    <xf numFmtId="3" fontId="12" fillId="0" borderId="0" xfId="11" applyNumberFormat="1" applyFont="1" applyBorder="1" applyAlignment="1">
      <alignment horizontal="center" vertical="center"/>
    </xf>
    <xf numFmtId="184" fontId="12" fillId="5" borderId="0" xfId="11" applyNumberFormat="1" applyFont="1" applyFill="1" applyBorder="1" applyAlignment="1">
      <alignment horizontal="center" vertical="center"/>
    </xf>
    <xf numFmtId="181" fontId="6" fillId="0" borderId="0" xfId="46" applyNumberFormat="1" applyFont="1" applyBorder="1" applyAlignment="1">
      <alignment horizontal="center" vertical="center"/>
    </xf>
    <xf numFmtId="0" fontId="6" fillId="2" borderId="5" xfId="46" applyFont="1" applyFill="1" applyBorder="1" applyAlignment="1">
      <alignment horizontal="center" vertical="center"/>
    </xf>
    <xf numFmtId="9" fontId="7" fillId="2" borderId="6" xfId="1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6" fillId="0" borderId="0" xfId="46" applyFont="1" applyFill="1" applyAlignment="1">
      <alignment horizontal="left" vertical="center"/>
    </xf>
    <xf numFmtId="9" fontId="7" fillId="0" borderId="0" xfId="11" applyFont="1" applyFill="1" applyAlignment="1">
      <alignment horizontal="center" vertical="center"/>
    </xf>
    <xf numFmtId="0" fontId="7" fillId="0" borderId="0" xfId="46" applyFont="1" applyFill="1" applyAlignment="1">
      <alignment horizontal="left" vertical="center"/>
    </xf>
    <xf numFmtId="184" fontId="12" fillId="0" borderId="0" xfId="11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horizontal="right"/>
    </xf>
    <xf numFmtId="9" fontId="7" fillId="6" borderId="7" xfId="11" applyNumberFormat="1" applyFont="1" applyFill="1" applyBorder="1" applyAlignment="1">
      <alignment horizontal="center"/>
    </xf>
    <xf numFmtId="0" fontId="6" fillId="6" borderId="8" xfId="43" applyFont="1" applyFill="1" applyBorder="1" applyAlignment="1">
      <alignment horizontal="left" vertical="center"/>
    </xf>
    <xf numFmtId="0" fontId="7" fillId="2" borderId="8" xfId="46" applyFont="1" applyFill="1" applyBorder="1" applyAlignment="1">
      <alignment horizontal="center" vertical="center" wrapText="1"/>
    </xf>
    <xf numFmtId="9" fontId="6" fillId="0" borderId="0" xfId="25" applyFont="1" applyBorder="1" applyAlignment="1">
      <alignment horizontal="center" vertical="center"/>
    </xf>
    <xf numFmtId="181" fontId="6" fillId="0" borderId="8" xfId="46" applyNumberFormat="1" applyFont="1" applyBorder="1" applyAlignment="1">
      <alignment horizontal="center" vertical="center"/>
    </xf>
    <xf numFmtId="9" fontId="12" fillId="0" borderId="0" xfId="11" applyFont="1" applyBorder="1" applyAlignment="1">
      <alignment horizontal="center" vertical="center"/>
    </xf>
    <xf numFmtId="3" fontId="12" fillId="0" borderId="9" xfId="11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right"/>
    </xf>
    <xf numFmtId="181" fontId="7" fillId="2" borderId="10" xfId="0" applyNumberFormat="1" applyFont="1" applyFill="1" applyBorder="1" applyAlignment="1">
      <alignment horizontal="center"/>
    </xf>
    <xf numFmtId="0" fontId="2" fillId="0" borderId="0" xfId="0" applyFo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9" fontId="7" fillId="6" borderId="7" xfId="1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6" fillId="6" borderId="3" xfId="0" applyFont="1" applyFill="1" applyBorder="1" applyAlignment="1"/>
    <xf numFmtId="0" fontId="6" fillId="6" borderId="3" xfId="43" applyFont="1" applyFill="1" applyBorder="1" applyAlignment="1">
      <alignment horizontal="left" vertical="center"/>
    </xf>
    <xf numFmtId="0" fontId="6" fillId="6" borderId="0" xfId="0" applyFont="1" applyFill="1" applyBorder="1" applyAlignment="1"/>
    <xf numFmtId="0" fontId="9" fillId="6" borderId="0" xfId="0" applyFont="1" applyFill="1" applyBorder="1" applyAlignment="1"/>
    <xf numFmtId="0" fontId="6" fillId="6" borderId="0" xfId="43" applyFont="1" applyFill="1" applyBorder="1" applyAlignment="1">
      <alignment vertical="center"/>
    </xf>
    <xf numFmtId="184" fontId="6" fillId="0" borderId="0" xfId="46" applyNumberFormat="1" applyFont="1" applyBorder="1" applyAlignment="1">
      <alignment horizontal="center" vertical="center"/>
    </xf>
    <xf numFmtId="184" fontId="6" fillId="0" borderId="9" xfId="46" applyNumberFormat="1" applyFont="1" applyBorder="1" applyAlignment="1">
      <alignment horizontal="center" vertical="center"/>
    </xf>
    <xf numFmtId="9" fontId="6" fillId="0" borderId="9" xfId="25" applyFont="1" applyBorder="1" applyAlignment="1">
      <alignment horizontal="center" vertical="center"/>
    </xf>
    <xf numFmtId="0" fontId="7" fillId="2" borderId="6" xfId="46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181" fontId="7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 wrapText="1"/>
    </xf>
    <xf numFmtId="49" fontId="0" fillId="0" borderId="0" xfId="0" applyNumberFormat="1"/>
    <xf numFmtId="181" fontId="0" fillId="0" borderId="0" xfId="0" applyNumberFormat="1"/>
    <xf numFmtId="181" fontId="1" fillId="0" borderId="0" xfId="0" applyNumberFormat="1" applyFont="1"/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Pourcentage 3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Normal 3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Table1" displayName="Table1" ref="A3:M15" totalsRowShown="0">
  <autoFilter ref="A3:M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Date"/>
    <tableColumn id="2" name="Shares Sold"/>
    <tableColumn id="3" name="Offering Price"/>
    <tableColumn id="4" name="Market Price"/>
    <tableColumn id="5" name="Discount"/>
    <tableColumn id="6" name="Gross Proceeds"/>
    <tableColumn id="7" name="Liquidity Pre-Offering"/>
    <tableColumn id="8" name="Liquidity Post-Offering"/>
    <tableColumn id="9" name="Cash Burn At Offering"/>
    <tableColumn id="10" name="Cash Runway Pre-Offering (qtrs)"/>
    <tableColumn id="11" name="Cash Runway Pre-Offering (date)"/>
    <tableColumn id="12" name="Management Cash Runway Pre-Offering"/>
    <tableColumn id="13" name="Management Cash Runway Post-Offering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seekingalpha.com/article/4278609-totality-voxelotor-phase-3-data-increases-conviction-global-blood-therapeutic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30" zoomScaleNormal="130" workbookViewId="0">
      <selection activeCell="M21" sqref="M21"/>
    </sheetView>
  </sheetViews>
  <sheetFormatPr defaultColWidth="9" defaultRowHeight="15.75"/>
  <cols>
    <col min="1" max="1" width="10.8333333333333" style="135"/>
    <col min="2" max="2" width="11.3333333333333" customWidth="1"/>
    <col min="6" max="6" width="12" customWidth="1"/>
    <col min="7" max="7" width="10.8333333333333" style="136"/>
    <col min="8" max="8" width="11.5" style="136" customWidth="1"/>
    <col min="9" max="9" width="12.8333333333333" style="136" customWidth="1"/>
    <col min="10" max="11" width="10.8333333333333" style="136"/>
    <col min="12" max="12" width="11.8333333333333" style="136" customWidth="1"/>
    <col min="13" max="13" width="11.6666666666667" style="136" customWidth="1"/>
  </cols>
  <sheetData>
    <row r="1" s="80" customFormat="1" ht="20.25" spans="1:13">
      <c r="A1" s="80" t="s">
        <v>0</v>
      </c>
      <c r="G1" s="137"/>
      <c r="H1" s="137"/>
      <c r="I1" s="137"/>
      <c r="J1" s="137"/>
      <c r="K1" s="137"/>
      <c r="L1" s="137"/>
      <c r="M1" s="137"/>
    </row>
    <row r="3" s="134" customFormat="1" ht="47.25" spans="1:15">
      <c r="A3" s="138" t="s">
        <v>1</v>
      </c>
      <c r="B3" s="134" t="s">
        <v>2</v>
      </c>
      <c r="C3" s="134" t="s">
        <v>3</v>
      </c>
      <c r="D3" s="134" t="s">
        <v>4</v>
      </c>
      <c r="E3" s="134" t="s">
        <v>5</v>
      </c>
      <c r="F3" s="134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7" t="s">
        <v>13</v>
      </c>
      <c r="N3" s="134" t="s">
        <v>14</v>
      </c>
      <c r="O3" s="134" t="s">
        <v>15</v>
      </c>
    </row>
    <row r="19" spans="1:1">
      <c r="A19" s="139" t="s">
        <v>16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V67"/>
  <sheetViews>
    <sheetView showGridLines="0" tabSelected="1" zoomScale="130" zoomScaleNormal="130" workbookViewId="0">
      <selection activeCell="K25" sqref="K25"/>
    </sheetView>
  </sheetViews>
  <sheetFormatPr defaultColWidth="9" defaultRowHeight="15.75"/>
  <cols>
    <col min="1" max="1" width="10.8333333333333" style="85"/>
    <col min="2" max="2" width="9.66666666666667" style="85" customWidth="1"/>
    <col min="3" max="3" width="11.3333333333333" style="85" customWidth="1"/>
    <col min="4" max="4" width="11" style="85" customWidth="1"/>
    <col min="5" max="5" width="8.33333333333333" style="85" customWidth="1"/>
    <col min="6" max="6" width="9.33333333333333" style="85" customWidth="1"/>
    <col min="7" max="7" width="9.16666666666667" style="85" customWidth="1"/>
    <col min="8" max="8" width="8" style="85" customWidth="1"/>
    <col min="9" max="9" width="9.83333333333333" style="85" customWidth="1"/>
    <col min="10" max="10" width="9.66666666666667" style="85" customWidth="1"/>
    <col min="12" max="12" width="9.16666666666667" style="85" customWidth="1"/>
    <col min="13" max="13" width="12.6666666666667" style="85" customWidth="1"/>
    <col min="14" max="14" width="10.8333333333333" style="85" customWidth="1"/>
    <col min="15" max="15" width="8.5" style="85" customWidth="1"/>
    <col min="16" max="16" width="9.33333333333333" style="85" customWidth="1"/>
    <col min="17" max="17" width="9.83333333333333" style="85" customWidth="1"/>
    <col min="18" max="18" width="8.84166666666667" style="85" customWidth="1"/>
    <col min="19" max="19" width="9.83333333333333" style="85" customWidth="1"/>
    <col min="20" max="20" width="9.41666666666667" style="85" customWidth="1"/>
    <col min="21" max="21" width="7.66666666666667" style="85" customWidth="1"/>
    <col min="22" max="22" width="8.5" style="85" customWidth="1"/>
    <col min="23" max="16384" width="10.8333333333333" style="85"/>
  </cols>
  <sheetData>
    <row r="1" s="80" customFormat="1" ht="20.25" spans="2:2">
      <c r="B1" s="86" t="s">
        <v>17</v>
      </c>
    </row>
    <row r="2" ht="16.5"/>
    <row r="3" spans="2:22">
      <c r="B3" s="87" t="s">
        <v>4</v>
      </c>
      <c r="C3" s="88" t="s">
        <v>18</v>
      </c>
      <c r="D3" s="88"/>
      <c r="E3" s="88"/>
      <c r="F3" s="88"/>
      <c r="G3" s="88"/>
      <c r="H3" s="88"/>
      <c r="I3" s="106" t="s">
        <v>19</v>
      </c>
      <c r="J3" s="107">
        <v>0.75</v>
      </c>
      <c r="L3" s="87" t="s">
        <v>4</v>
      </c>
      <c r="M3" s="88" t="s">
        <v>20</v>
      </c>
      <c r="N3" s="88"/>
      <c r="O3" s="88"/>
      <c r="P3" s="88"/>
      <c r="Q3" s="121"/>
      <c r="R3" s="122"/>
      <c r="S3" s="88"/>
      <c r="T3" s="88"/>
      <c r="U3" s="106" t="s">
        <v>19</v>
      </c>
      <c r="V3" s="107">
        <v>0.75</v>
      </c>
    </row>
    <row r="4" spans="2:22">
      <c r="B4" s="89" t="s">
        <v>3</v>
      </c>
      <c r="C4" s="90" t="s">
        <v>21</v>
      </c>
      <c r="D4" s="90"/>
      <c r="E4" s="90"/>
      <c r="F4" s="90"/>
      <c r="G4" s="90"/>
      <c r="H4" s="90"/>
      <c r="I4" s="90"/>
      <c r="J4" s="108"/>
      <c r="L4" s="89" t="s">
        <v>3</v>
      </c>
      <c r="M4" s="90" t="s">
        <v>21</v>
      </c>
      <c r="N4" s="90"/>
      <c r="O4" s="90"/>
      <c r="P4" s="90"/>
      <c r="Q4" s="123"/>
      <c r="R4" s="90"/>
      <c r="S4" s="90"/>
      <c r="T4" s="90"/>
      <c r="U4" s="90"/>
      <c r="V4" s="108"/>
    </row>
    <row r="5" spans="2:22">
      <c r="B5" s="89" t="s">
        <v>22</v>
      </c>
      <c r="C5" s="90" t="s">
        <v>23</v>
      </c>
      <c r="D5" s="90"/>
      <c r="E5" s="90"/>
      <c r="F5" s="90"/>
      <c r="G5" s="90"/>
      <c r="H5" s="90"/>
      <c r="I5" s="90"/>
      <c r="J5" s="108"/>
      <c r="L5" s="89" t="s">
        <v>22</v>
      </c>
      <c r="M5" s="90" t="s">
        <v>23</v>
      </c>
      <c r="N5" s="90"/>
      <c r="O5" s="90"/>
      <c r="P5" s="90"/>
      <c r="Q5" s="124"/>
      <c r="R5" s="90"/>
      <c r="S5" s="90"/>
      <c r="T5" s="90"/>
      <c r="U5" s="90"/>
      <c r="V5" s="108"/>
    </row>
    <row r="6" spans="2:22">
      <c r="B6" s="89" t="s">
        <v>24</v>
      </c>
      <c r="C6" s="90" t="s">
        <v>25</v>
      </c>
      <c r="D6" s="90"/>
      <c r="E6" s="90"/>
      <c r="F6" s="90"/>
      <c r="G6" s="90"/>
      <c r="H6" s="90"/>
      <c r="I6" s="90"/>
      <c r="J6" s="108"/>
      <c r="L6" s="89" t="s">
        <v>24</v>
      </c>
      <c r="M6" s="90" t="s">
        <v>25</v>
      </c>
      <c r="N6" s="90"/>
      <c r="O6" s="90"/>
      <c r="P6" s="90"/>
      <c r="Q6" s="125"/>
      <c r="R6" s="90"/>
      <c r="S6" s="90"/>
      <c r="T6" s="90"/>
      <c r="U6" s="90"/>
      <c r="V6" s="108"/>
    </row>
    <row r="7" s="81" customFormat="1" ht="63" spans="2:22">
      <c r="B7" s="91" t="s">
        <v>26</v>
      </c>
      <c r="C7" s="92" t="s">
        <v>27</v>
      </c>
      <c r="D7" s="92" t="s">
        <v>28</v>
      </c>
      <c r="E7" s="92" t="s">
        <v>29</v>
      </c>
      <c r="F7" s="92" t="s">
        <v>30</v>
      </c>
      <c r="G7" s="92" t="s">
        <v>31</v>
      </c>
      <c r="H7" s="92" t="s">
        <v>32</v>
      </c>
      <c r="I7" s="92" t="s">
        <v>33</v>
      </c>
      <c r="J7" s="109" t="s">
        <v>34</v>
      </c>
      <c r="L7" s="91" t="s">
        <v>26</v>
      </c>
      <c r="M7" s="92" t="s">
        <v>27</v>
      </c>
      <c r="N7" s="92" t="s">
        <v>28</v>
      </c>
      <c r="O7" s="92" t="s">
        <v>29</v>
      </c>
      <c r="P7" s="92" t="s">
        <v>30</v>
      </c>
      <c r="Q7" s="92" t="s">
        <v>31</v>
      </c>
      <c r="R7" s="92" t="s">
        <v>32</v>
      </c>
      <c r="S7" s="92" t="s">
        <v>33</v>
      </c>
      <c r="T7" s="92" t="s">
        <v>34</v>
      </c>
      <c r="U7" s="92" t="s">
        <v>35</v>
      </c>
      <c r="V7" s="109" t="s">
        <v>36</v>
      </c>
    </row>
    <row r="8" s="82" customFormat="1" ht="15" spans="2:22">
      <c r="B8" s="93">
        <v>0.05</v>
      </c>
      <c r="C8" s="94">
        <v>0.2</v>
      </c>
      <c r="D8" s="95">
        <f>$J$3*C8</f>
        <v>0.15</v>
      </c>
      <c r="E8" s="96">
        <v>10000</v>
      </c>
      <c r="F8" s="96">
        <f>B8*$E$8</f>
        <v>500</v>
      </c>
      <c r="G8" s="97">
        <v>100000</v>
      </c>
      <c r="H8" s="98">
        <f>F8*$G$8/1000000</f>
        <v>50</v>
      </c>
      <c r="I8" s="110">
        <v>0.1</v>
      </c>
      <c r="J8" s="111">
        <f>H8*(1-$I8)</f>
        <v>45</v>
      </c>
      <c r="L8" s="93">
        <v>0.05</v>
      </c>
      <c r="M8" s="94">
        <v>0.2</v>
      </c>
      <c r="N8" s="112">
        <f>IF($V$3="","",$V$3*M8)</f>
        <v>0.15</v>
      </c>
      <c r="O8" s="96">
        <v>60000</v>
      </c>
      <c r="P8" s="96">
        <f>L8*$O$8</f>
        <v>3000</v>
      </c>
      <c r="Q8" s="126">
        <v>100000</v>
      </c>
      <c r="R8" s="98">
        <f>P8*$Q$8/1000000</f>
        <v>300</v>
      </c>
      <c r="S8" s="110">
        <v>0.1</v>
      </c>
      <c r="T8" s="98">
        <f>R8*(1-$S$8)</f>
        <v>270</v>
      </c>
      <c r="U8" s="110">
        <v>0.15</v>
      </c>
      <c r="V8" s="111">
        <f>T8*$U$8</f>
        <v>40.5</v>
      </c>
    </row>
    <row r="9" s="82" customFormat="1" ht="15" spans="2:22">
      <c r="B9" s="93">
        <v>0.1</v>
      </c>
      <c r="C9" s="94">
        <v>0.2</v>
      </c>
      <c r="D9" s="95">
        <f>$J$3*C9</f>
        <v>0.15</v>
      </c>
      <c r="E9" s="96"/>
      <c r="F9" s="96">
        <f t="shared" ref="F9:F12" si="0">B9*$E$8</f>
        <v>1000</v>
      </c>
      <c r="G9" s="97"/>
      <c r="H9" s="98">
        <f t="shared" ref="H9:H12" si="1">F9*$G$8/1000000</f>
        <v>100</v>
      </c>
      <c r="I9" s="110"/>
      <c r="J9" s="111">
        <f>H9*(1-$I$8)</f>
        <v>90</v>
      </c>
      <c r="L9" s="93">
        <v>0.1</v>
      </c>
      <c r="M9" s="94">
        <v>0.2</v>
      </c>
      <c r="N9" s="112">
        <f t="shared" ref="N9:N12" si="2">IF($V$3="","",$V$3*M9)</f>
        <v>0.15</v>
      </c>
      <c r="O9" s="96"/>
      <c r="P9" s="96">
        <f t="shared" ref="P9:P12" si="3">L9*$O$8</f>
        <v>6000</v>
      </c>
      <c r="Q9" s="126"/>
      <c r="R9" s="98">
        <f t="shared" ref="R9:R12" si="4">P9*$Q$8/1000000</f>
        <v>600</v>
      </c>
      <c r="S9" s="110"/>
      <c r="T9" s="98">
        <f t="shared" ref="T9:T12" si="5">R9*(1-$S$8)</f>
        <v>540</v>
      </c>
      <c r="U9" s="110"/>
      <c r="V9" s="111">
        <f>T9*$U$8</f>
        <v>81</v>
      </c>
    </row>
    <row r="10" s="82" customFormat="1" ht="15" spans="2:22">
      <c r="B10" s="93">
        <v>0.15</v>
      </c>
      <c r="C10" s="94">
        <v>0.2</v>
      </c>
      <c r="D10" s="95">
        <f>$J$3*C10</f>
        <v>0.15</v>
      </c>
      <c r="E10" s="96"/>
      <c r="F10" s="96">
        <f t="shared" si="0"/>
        <v>1500</v>
      </c>
      <c r="G10" s="97"/>
      <c r="H10" s="98">
        <f t="shared" si="1"/>
        <v>150</v>
      </c>
      <c r="I10" s="110"/>
      <c r="J10" s="111">
        <f>H10*(1-$I$8)</f>
        <v>135</v>
      </c>
      <c r="L10" s="93">
        <v>0.15</v>
      </c>
      <c r="M10" s="94">
        <v>0.2</v>
      </c>
      <c r="N10" s="112">
        <f t="shared" si="2"/>
        <v>0.15</v>
      </c>
      <c r="O10" s="96"/>
      <c r="P10" s="96">
        <f t="shared" si="3"/>
        <v>9000</v>
      </c>
      <c r="Q10" s="126"/>
      <c r="R10" s="98">
        <f t="shared" si="4"/>
        <v>900</v>
      </c>
      <c r="S10" s="110"/>
      <c r="T10" s="98">
        <f t="shared" si="5"/>
        <v>810</v>
      </c>
      <c r="U10" s="110"/>
      <c r="V10" s="111">
        <f>T10*$U$8</f>
        <v>121.5</v>
      </c>
    </row>
    <row r="11" s="82" customFormat="1" ht="15" spans="2:22">
      <c r="B11" s="93">
        <v>0.2</v>
      </c>
      <c r="C11" s="94">
        <v>0.2</v>
      </c>
      <c r="D11" s="95">
        <f>$J$3*C11</f>
        <v>0.15</v>
      </c>
      <c r="E11" s="96"/>
      <c r="F11" s="96">
        <f t="shared" si="0"/>
        <v>2000</v>
      </c>
      <c r="G11" s="97"/>
      <c r="H11" s="98">
        <f t="shared" si="1"/>
        <v>200</v>
      </c>
      <c r="I11" s="110"/>
      <c r="J11" s="111">
        <f>H11*(1-$I$8)</f>
        <v>180</v>
      </c>
      <c r="L11" s="93">
        <v>0.2</v>
      </c>
      <c r="M11" s="94">
        <v>0.2</v>
      </c>
      <c r="N11" s="112">
        <f t="shared" si="2"/>
        <v>0.15</v>
      </c>
      <c r="O11" s="96"/>
      <c r="P11" s="96">
        <f t="shared" si="3"/>
        <v>12000</v>
      </c>
      <c r="Q11" s="126"/>
      <c r="R11" s="98">
        <f t="shared" si="4"/>
        <v>1200</v>
      </c>
      <c r="S11" s="110"/>
      <c r="T11" s="98">
        <f t="shared" si="5"/>
        <v>1080</v>
      </c>
      <c r="U11" s="110"/>
      <c r="V11" s="111">
        <f>T11*$U$8</f>
        <v>162</v>
      </c>
    </row>
    <row r="12" s="82" customFormat="1" ht="15" spans="2:22">
      <c r="B12" s="93">
        <v>0.25</v>
      </c>
      <c r="C12" s="94">
        <v>0.2</v>
      </c>
      <c r="D12" s="95">
        <f>$J$3*C12</f>
        <v>0.15</v>
      </c>
      <c r="E12" s="96"/>
      <c r="F12" s="96">
        <f t="shared" si="0"/>
        <v>2500</v>
      </c>
      <c r="G12" s="97"/>
      <c r="H12" s="98">
        <f t="shared" si="1"/>
        <v>250</v>
      </c>
      <c r="I12" s="110"/>
      <c r="J12" s="111">
        <f>H12*(1-$I$8)</f>
        <v>225</v>
      </c>
      <c r="L12" s="93">
        <v>0.25</v>
      </c>
      <c r="M12" s="94">
        <v>0.2</v>
      </c>
      <c r="N12" s="112">
        <f t="shared" si="2"/>
        <v>0.15</v>
      </c>
      <c r="O12" s="113"/>
      <c r="P12" s="96">
        <f t="shared" si="3"/>
        <v>15000</v>
      </c>
      <c r="Q12" s="127"/>
      <c r="R12" s="98">
        <f t="shared" si="4"/>
        <v>1500</v>
      </c>
      <c r="S12" s="128"/>
      <c r="T12" s="98">
        <f t="shared" si="5"/>
        <v>1350</v>
      </c>
      <c r="U12" s="128"/>
      <c r="V12" s="111">
        <f>T12*$U$8</f>
        <v>202.5</v>
      </c>
    </row>
    <row r="13" s="83" customFormat="1" ht="16.5" spans="2:22">
      <c r="B13" s="99" t="s">
        <v>37</v>
      </c>
      <c r="C13" s="100">
        <f>SUM(C8:C12)</f>
        <v>1</v>
      </c>
      <c r="D13" s="100">
        <f>SUM(D8:D12)</f>
        <v>0.75</v>
      </c>
      <c r="E13" s="100"/>
      <c r="F13" s="100"/>
      <c r="G13" s="100"/>
      <c r="H13" s="101"/>
      <c r="I13" s="114" t="s">
        <v>38</v>
      </c>
      <c r="J13" s="115">
        <f>SUMPRODUCT(D8:D12,J8:J12)</f>
        <v>101.25</v>
      </c>
      <c r="K13" s="116"/>
      <c r="L13" s="99" t="s">
        <v>37</v>
      </c>
      <c r="M13" s="100">
        <f>SUM(M8:M12)</f>
        <v>1</v>
      </c>
      <c r="N13" s="100">
        <f>SUM(N8:N12)</f>
        <v>0.75</v>
      </c>
      <c r="O13" s="100"/>
      <c r="P13" s="100"/>
      <c r="Q13" s="129"/>
      <c r="R13" s="129"/>
      <c r="S13" s="114"/>
      <c r="T13" s="101"/>
      <c r="U13" s="114" t="s">
        <v>39</v>
      </c>
      <c r="V13" s="115">
        <f>SUMPRODUCT(V8:V12,N8:N12)</f>
        <v>91.125</v>
      </c>
    </row>
    <row r="14" s="84" customFormat="1" ht="16.5" spans="2:21">
      <c r="B14" s="102"/>
      <c r="C14" s="103"/>
      <c r="D14" s="103"/>
      <c r="E14" s="103"/>
      <c r="F14" s="103"/>
      <c r="G14" s="103"/>
      <c r="H14" s="104"/>
      <c r="I14" s="117"/>
      <c r="J14" s="118"/>
      <c r="L14" s="102"/>
      <c r="M14" s="102"/>
      <c r="N14" s="104"/>
      <c r="O14" s="104"/>
      <c r="P14" s="104"/>
      <c r="Q14" s="117"/>
      <c r="R14" s="118"/>
      <c r="S14" s="117"/>
      <c r="T14" s="118"/>
      <c r="U14" s="103"/>
    </row>
    <row r="15" spans="2:22">
      <c r="B15" s="87"/>
      <c r="C15" s="88"/>
      <c r="D15" s="88"/>
      <c r="E15" s="88"/>
      <c r="F15" s="88"/>
      <c r="G15" s="88"/>
      <c r="H15" s="88"/>
      <c r="I15" s="106"/>
      <c r="J15" s="119"/>
      <c r="L15" s="87"/>
      <c r="M15" s="88"/>
      <c r="N15" s="88"/>
      <c r="O15" s="88"/>
      <c r="P15" s="88"/>
      <c r="Q15" s="121"/>
      <c r="R15" s="122"/>
      <c r="S15" s="88"/>
      <c r="T15" s="88"/>
      <c r="U15" s="106"/>
      <c r="V15" s="119"/>
    </row>
    <row r="16" spans="2:22">
      <c r="B16" s="89"/>
      <c r="C16" s="90"/>
      <c r="D16" s="90"/>
      <c r="E16" s="90"/>
      <c r="F16" s="90"/>
      <c r="G16" s="90"/>
      <c r="H16" s="90"/>
      <c r="I16" s="90"/>
      <c r="J16" s="108"/>
      <c r="L16" s="89"/>
      <c r="M16" s="90"/>
      <c r="N16" s="90"/>
      <c r="O16" s="90"/>
      <c r="P16" s="90"/>
      <c r="Q16" s="123"/>
      <c r="R16" s="90"/>
      <c r="S16" s="90"/>
      <c r="T16" s="90"/>
      <c r="U16" s="90"/>
      <c r="V16" s="108"/>
    </row>
    <row r="17" spans="2:22">
      <c r="B17" s="89"/>
      <c r="C17" s="90"/>
      <c r="D17" s="90"/>
      <c r="E17" s="90"/>
      <c r="F17" s="90"/>
      <c r="G17" s="90"/>
      <c r="H17" s="90"/>
      <c r="I17" s="90"/>
      <c r="J17" s="108"/>
      <c r="L17" s="89"/>
      <c r="M17" s="90"/>
      <c r="N17" s="90"/>
      <c r="O17" s="90"/>
      <c r="P17" s="90"/>
      <c r="Q17" s="124"/>
      <c r="R17" s="90"/>
      <c r="S17" s="90"/>
      <c r="T17" s="90"/>
      <c r="U17" s="90"/>
      <c r="V17" s="108"/>
    </row>
    <row r="18" spans="2:22">
      <c r="B18" s="89"/>
      <c r="C18" s="90"/>
      <c r="D18" s="90"/>
      <c r="E18" s="90"/>
      <c r="F18" s="90"/>
      <c r="G18" s="90"/>
      <c r="H18" s="90"/>
      <c r="I18" s="90"/>
      <c r="J18" s="108"/>
      <c r="L18" s="89"/>
      <c r="M18" s="90"/>
      <c r="N18" s="90"/>
      <c r="O18" s="90"/>
      <c r="P18" s="90"/>
      <c r="Q18" s="125"/>
      <c r="R18" s="90"/>
      <c r="S18" s="90"/>
      <c r="T18" s="90"/>
      <c r="U18" s="90"/>
      <c r="V18" s="108"/>
    </row>
    <row r="19" s="81" customFormat="1" spans="2:22">
      <c r="B19" s="91"/>
      <c r="C19" s="92"/>
      <c r="D19" s="92"/>
      <c r="E19" s="92"/>
      <c r="F19" s="92"/>
      <c r="G19" s="92"/>
      <c r="H19" s="92"/>
      <c r="I19" s="92"/>
      <c r="J19" s="109"/>
      <c r="L19" s="91"/>
      <c r="M19" s="92"/>
      <c r="N19" s="92"/>
      <c r="O19" s="92"/>
      <c r="P19" s="92"/>
      <c r="Q19" s="92"/>
      <c r="R19" s="92"/>
      <c r="S19" s="92"/>
      <c r="T19" s="92"/>
      <c r="U19" s="92"/>
      <c r="V19" s="109"/>
    </row>
    <row r="20" s="82" customFormat="1" spans="2:22">
      <c r="B20" s="93"/>
      <c r="C20" s="94"/>
      <c r="D20" s="95"/>
      <c r="E20" s="96"/>
      <c r="F20" s="96"/>
      <c r="G20" s="105"/>
      <c r="H20" s="98"/>
      <c r="I20" s="110"/>
      <c r="J20" s="111"/>
      <c r="L20" s="93"/>
      <c r="M20" s="94"/>
      <c r="N20" s="95"/>
      <c r="O20" s="96"/>
      <c r="P20" s="96"/>
      <c r="Q20" s="126"/>
      <c r="R20" s="98"/>
      <c r="S20" s="110"/>
      <c r="T20" s="98"/>
      <c r="U20" s="110"/>
      <c r="V20" s="111"/>
    </row>
    <row r="21" s="82" customFormat="1" spans="2:22">
      <c r="B21" s="93"/>
      <c r="C21" s="94"/>
      <c r="D21" s="95"/>
      <c r="E21" s="96"/>
      <c r="F21" s="96"/>
      <c r="G21" s="105"/>
      <c r="H21" s="98"/>
      <c r="I21" s="110"/>
      <c r="J21" s="111"/>
      <c r="L21" s="93"/>
      <c r="M21" s="94"/>
      <c r="N21" s="95"/>
      <c r="O21" s="96"/>
      <c r="P21" s="96"/>
      <c r="Q21" s="126"/>
      <c r="R21" s="98"/>
      <c r="S21" s="110"/>
      <c r="T21" s="98"/>
      <c r="U21" s="110"/>
      <c r="V21" s="111"/>
    </row>
    <row r="22" s="82" customFormat="1" spans="2:22">
      <c r="B22" s="93"/>
      <c r="C22" s="94"/>
      <c r="D22" s="95"/>
      <c r="E22" s="96"/>
      <c r="F22" s="96"/>
      <c r="G22" s="105"/>
      <c r="H22" s="98"/>
      <c r="I22" s="110"/>
      <c r="J22" s="111"/>
      <c r="L22" s="93"/>
      <c r="M22" s="94"/>
      <c r="N22" s="95"/>
      <c r="O22" s="96"/>
      <c r="P22" s="96"/>
      <c r="Q22" s="126"/>
      <c r="R22" s="98"/>
      <c r="S22" s="110"/>
      <c r="T22" s="98"/>
      <c r="U22" s="110"/>
      <c r="V22" s="111"/>
    </row>
    <row r="23" s="82" customFormat="1" spans="2:22">
      <c r="B23" s="93"/>
      <c r="C23" s="94"/>
      <c r="D23" s="95"/>
      <c r="E23" s="96"/>
      <c r="F23" s="96"/>
      <c r="G23" s="105"/>
      <c r="H23" s="98"/>
      <c r="I23" s="110"/>
      <c r="J23" s="111"/>
      <c r="L23" s="93"/>
      <c r="M23" s="94"/>
      <c r="N23" s="95"/>
      <c r="O23" s="96"/>
      <c r="P23" s="96"/>
      <c r="Q23" s="126"/>
      <c r="R23" s="98"/>
      <c r="S23" s="110"/>
      <c r="T23" s="98"/>
      <c r="U23" s="110"/>
      <c r="V23" s="111"/>
    </row>
    <row r="24" s="82" customFormat="1" spans="2:22">
      <c r="B24" s="93"/>
      <c r="C24" s="94"/>
      <c r="D24" s="95"/>
      <c r="E24" s="96"/>
      <c r="F24" s="96"/>
      <c r="G24" s="105"/>
      <c r="H24" s="98"/>
      <c r="I24" s="110"/>
      <c r="J24" s="111"/>
      <c r="L24" s="93"/>
      <c r="M24" s="94"/>
      <c r="N24" s="95"/>
      <c r="O24" s="113"/>
      <c r="P24" s="96"/>
      <c r="Q24" s="127"/>
      <c r="R24" s="98"/>
      <c r="S24" s="128"/>
      <c r="T24" s="98"/>
      <c r="U24" s="128"/>
      <c r="V24" s="111"/>
    </row>
    <row r="25" s="83" customFormat="1" ht="16.5" spans="2:22">
      <c r="B25" s="99"/>
      <c r="C25" s="100"/>
      <c r="D25" s="100"/>
      <c r="E25" s="100"/>
      <c r="F25" s="100"/>
      <c r="G25" s="100"/>
      <c r="H25" s="101"/>
      <c r="I25" s="114"/>
      <c r="J25" s="115"/>
      <c r="K25" s="116"/>
      <c r="L25" s="99"/>
      <c r="M25" s="100"/>
      <c r="N25" s="100"/>
      <c r="O25" s="100"/>
      <c r="P25" s="100"/>
      <c r="Q25" s="129"/>
      <c r="R25" s="129"/>
      <c r="S25" s="114"/>
      <c r="T25" s="101"/>
      <c r="U25" s="114"/>
      <c r="V25" s="115"/>
    </row>
    <row r="27" spans="2:22">
      <c r="B27" s="87"/>
      <c r="C27" s="88"/>
      <c r="D27" s="88"/>
      <c r="E27" s="88"/>
      <c r="F27" s="88"/>
      <c r="G27" s="88"/>
      <c r="H27" s="88"/>
      <c r="I27" s="106"/>
      <c r="J27" s="119"/>
      <c r="L27" s="87"/>
      <c r="M27" s="88"/>
      <c r="N27" s="88"/>
      <c r="O27" s="88"/>
      <c r="P27" s="88"/>
      <c r="Q27" s="121"/>
      <c r="R27" s="122"/>
      <c r="S27" s="88"/>
      <c r="T27" s="88"/>
      <c r="U27" s="106"/>
      <c r="V27" s="119"/>
    </row>
    <row r="28" spans="2:22">
      <c r="B28" s="89"/>
      <c r="C28" s="90"/>
      <c r="D28" s="90"/>
      <c r="E28" s="90"/>
      <c r="F28" s="90"/>
      <c r="G28" s="90"/>
      <c r="H28" s="90"/>
      <c r="I28" s="90"/>
      <c r="J28" s="108"/>
      <c r="L28" s="89"/>
      <c r="M28" s="90"/>
      <c r="N28" s="90"/>
      <c r="O28" s="90"/>
      <c r="P28" s="90"/>
      <c r="Q28" s="123"/>
      <c r="R28" s="90"/>
      <c r="S28" s="90"/>
      <c r="T28" s="90"/>
      <c r="U28" s="90"/>
      <c r="V28" s="108"/>
    </row>
    <row r="29" spans="2:22">
      <c r="B29" s="89"/>
      <c r="C29" s="90"/>
      <c r="D29" s="90"/>
      <c r="E29" s="90"/>
      <c r="F29" s="90"/>
      <c r="G29" s="90"/>
      <c r="H29" s="90"/>
      <c r="I29" s="90"/>
      <c r="J29" s="108"/>
      <c r="L29" s="89"/>
      <c r="M29" s="90"/>
      <c r="N29" s="90"/>
      <c r="O29" s="90"/>
      <c r="P29" s="90"/>
      <c r="Q29" s="124"/>
      <c r="R29" s="90"/>
      <c r="S29" s="90"/>
      <c r="T29" s="90"/>
      <c r="U29" s="90"/>
      <c r="V29" s="108"/>
    </row>
    <row r="30" spans="2:22">
      <c r="B30" s="89"/>
      <c r="C30" s="90"/>
      <c r="D30" s="90"/>
      <c r="E30" s="90"/>
      <c r="F30" s="90"/>
      <c r="G30" s="90"/>
      <c r="H30" s="90"/>
      <c r="I30" s="90"/>
      <c r="J30" s="108"/>
      <c r="L30" s="89"/>
      <c r="M30" s="90"/>
      <c r="N30" s="90"/>
      <c r="O30" s="90"/>
      <c r="P30" s="90"/>
      <c r="Q30" s="125"/>
      <c r="R30" s="90"/>
      <c r="S30" s="90"/>
      <c r="T30" s="90"/>
      <c r="U30" s="90"/>
      <c r="V30" s="108"/>
    </row>
    <row r="31" s="81" customFormat="1" spans="2:22">
      <c r="B31" s="91"/>
      <c r="C31" s="92"/>
      <c r="D31" s="92"/>
      <c r="E31" s="92"/>
      <c r="F31" s="92"/>
      <c r="G31" s="92"/>
      <c r="H31" s="92"/>
      <c r="I31" s="92"/>
      <c r="J31" s="109"/>
      <c r="L31" s="91"/>
      <c r="M31" s="92"/>
      <c r="N31" s="92"/>
      <c r="O31" s="92"/>
      <c r="P31" s="92"/>
      <c r="Q31" s="92"/>
      <c r="R31" s="92"/>
      <c r="S31" s="92"/>
      <c r="T31" s="92"/>
      <c r="U31" s="92"/>
      <c r="V31" s="109"/>
    </row>
    <row r="32" s="82" customFormat="1" spans="2:22">
      <c r="B32" s="93"/>
      <c r="C32" s="94"/>
      <c r="D32" s="95"/>
      <c r="E32" s="96"/>
      <c r="F32" s="96"/>
      <c r="G32" s="105"/>
      <c r="H32" s="98"/>
      <c r="I32" s="110"/>
      <c r="J32" s="111"/>
      <c r="L32" s="93"/>
      <c r="M32" s="94"/>
      <c r="N32" s="95"/>
      <c r="O32" s="96"/>
      <c r="P32" s="96"/>
      <c r="Q32" s="126"/>
      <c r="R32" s="98"/>
      <c r="S32" s="110"/>
      <c r="T32" s="98"/>
      <c r="U32" s="110"/>
      <c r="V32" s="111"/>
    </row>
    <row r="33" s="82" customFormat="1" spans="2:22">
      <c r="B33" s="93"/>
      <c r="C33" s="94"/>
      <c r="D33" s="95"/>
      <c r="E33" s="96"/>
      <c r="F33" s="96"/>
      <c r="G33" s="105"/>
      <c r="H33" s="98"/>
      <c r="I33" s="110"/>
      <c r="J33" s="111"/>
      <c r="L33" s="93"/>
      <c r="M33" s="94"/>
      <c r="N33" s="95"/>
      <c r="O33" s="96"/>
      <c r="P33" s="96"/>
      <c r="Q33" s="126"/>
      <c r="R33" s="98"/>
      <c r="S33" s="110"/>
      <c r="T33" s="98"/>
      <c r="U33" s="110"/>
      <c r="V33" s="111"/>
    </row>
    <row r="34" s="82" customFormat="1" spans="2:22">
      <c r="B34" s="93"/>
      <c r="C34" s="94"/>
      <c r="D34" s="95"/>
      <c r="E34" s="96"/>
      <c r="F34" s="96"/>
      <c r="G34" s="105"/>
      <c r="H34" s="98"/>
      <c r="I34" s="110"/>
      <c r="J34" s="111"/>
      <c r="L34" s="93"/>
      <c r="M34" s="94"/>
      <c r="N34" s="95"/>
      <c r="O34" s="96"/>
      <c r="P34" s="96"/>
      <c r="Q34" s="126"/>
      <c r="R34" s="98"/>
      <c r="S34" s="110"/>
      <c r="T34" s="98"/>
      <c r="U34" s="110"/>
      <c r="V34" s="111"/>
    </row>
    <row r="35" s="82" customFormat="1" spans="2:22">
      <c r="B35" s="93"/>
      <c r="C35" s="94"/>
      <c r="D35" s="95"/>
      <c r="E35" s="96"/>
      <c r="F35" s="96"/>
      <c r="G35" s="105"/>
      <c r="H35" s="98"/>
      <c r="I35" s="110"/>
      <c r="J35" s="111"/>
      <c r="L35" s="93"/>
      <c r="M35" s="94"/>
      <c r="N35" s="95"/>
      <c r="O35" s="96"/>
      <c r="P35" s="96"/>
      <c r="Q35" s="126"/>
      <c r="R35" s="98"/>
      <c r="S35" s="110"/>
      <c r="T35" s="98"/>
      <c r="U35" s="110"/>
      <c r="V35" s="111"/>
    </row>
    <row r="36" s="82" customFormat="1" spans="2:22">
      <c r="B36" s="93"/>
      <c r="C36" s="94"/>
      <c r="D36" s="95"/>
      <c r="E36" s="96"/>
      <c r="F36" s="96"/>
      <c r="G36" s="105"/>
      <c r="H36" s="98"/>
      <c r="I36" s="110"/>
      <c r="J36" s="111"/>
      <c r="L36" s="93"/>
      <c r="M36" s="94"/>
      <c r="N36" s="95"/>
      <c r="O36" s="113"/>
      <c r="P36" s="96"/>
      <c r="Q36" s="127"/>
      <c r="R36" s="98"/>
      <c r="S36" s="128"/>
      <c r="T36" s="98"/>
      <c r="U36" s="128"/>
      <c r="V36" s="111"/>
    </row>
    <row r="37" s="83" customFormat="1" ht="16.5" spans="2:22">
      <c r="B37" s="99"/>
      <c r="C37" s="100"/>
      <c r="D37" s="100"/>
      <c r="E37" s="100"/>
      <c r="F37" s="100"/>
      <c r="G37" s="100"/>
      <c r="H37" s="101"/>
      <c r="I37" s="114"/>
      <c r="J37" s="115"/>
      <c r="K37" s="116"/>
      <c r="L37" s="99"/>
      <c r="M37" s="100"/>
      <c r="N37" s="100"/>
      <c r="O37" s="100"/>
      <c r="P37" s="100"/>
      <c r="Q37" s="129"/>
      <c r="R37" s="129"/>
      <c r="S37" s="114"/>
      <c r="T37" s="101"/>
      <c r="U37" s="114"/>
      <c r="V37" s="115"/>
    </row>
    <row r="39" spans="2:22">
      <c r="B39" s="87"/>
      <c r="C39" s="88"/>
      <c r="D39" s="88"/>
      <c r="E39" s="88"/>
      <c r="F39" s="88"/>
      <c r="G39" s="88"/>
      <c r="H39" s="88"/>
      <c r="I39" s="106"/>
      <c r="J39" s="119"/>
      <c r="L39" s="87"/>
      <c r="M39" s="88"/>
      <c r="N39" s="88"/>
      <c r="O39" s="88"/>
      <c r="P39" s="88"/>
      <c r="Q39" s="121"/>
      <c r="R39" s="122"/>
      <c r="S39" s="88"/>
      <c r="T39" s="88"/>
      <c r="U39" s="106"/>
      <c r="V39" s="119"/>
    </row>
    <row r="40" spans="2:22">
      <c r="B40" s="89"/>
      <c r="C40" s="90"/>
      <c r="D40" s="90"/>
      <c r="E40" s="90"/>
      <c r="F40" s="90"/>
      <c r="G40" s="90"/>
      <c r="H40" s="90"/>
      <c r="I40" s="90"/>
      <c r="J40" s="108"/>
      <c r="L40" s="89"/>
      <c r="M40" s="90"/>
      <c r="N40" s="90"/>
      <c r="O40" s="90"/>
      <c r="P40" s="90"/>
      <c r="Q40" s="123"/>
      <c r="R40" s="90"/>
      <c r="S40" s="90"/>
      <c r="T40" s="90"/>
      <c r="U40" s="90"/>
      <c r="V40" s="108"/>
    </row>
    <row r="41" spans="2:22">
      <c r="B41" s="89"/>
      <c r="C41" s="90"/>
      <c r="D41" s="90"/>
      <c r="E41" s="90"/>
      <c r="F41" s="90"/>
      <c r="G41" s="90"/>
      <c r="H41" s="90"/>
      <c r="I41" s="90"/>
      <c r="J41" s="108"/>
      <c r="L41" s="89"/>
      <c r="M41" s="90"/>
      <c r="N41" s="90"/>
      <c r="O41" s="90"/>
      <c r="P41" s="90"/>
      <c r="Q41" s="124"/>
      <c r="R41" s="90"/>
      <c r="S41" s="90"/>
      <c r="T41" s="90"/>
      <c r="U41" s="90"/>
      <c r="V41" s="108"/>
    </row>
    <row r="42" spans="2:22">
      <c r="B42" s="89"/>
      <c r="C42" s="90"/>
      <c r="D42" s="90"/>
      <c r="E42" s="90"/>
      <c r="F42" s="90"/>
      <c r="G42" s="90"/>
      <c r="H42" s="90"/>
      <c r="I42" s="90"/>
      <c r="J42" s="108"/>
      <c r="L42" s="89"/>
      <c r="M42" s="90"/>
      <c r="N42" s="90"/>
      <c r="O42" s="90"/>
      <c r="P42" s="90"/>
      <c r="Q42" s="125"/>
      <c r="R42" s="90"/>
      <c r="S42" s="90"/>
      <c r="T42" s="90"/>
      <c r="U42" s="90"/>
      <c r="V42" s="108"/>
    </row>
    <row r="43" s="81" customFormat="1" spans="2:22">
      <c r="B43" s="91"/>
      <c r="C43" s="92"/>
      <c r="D43" s="92"/>
      <c r="E43" s="92"/>
      <c r="F43" s="92"/>
      <c r="G43" s="92"/>
      <c r="H43" s="92"/>
      <c r="I43" s="92"/>
      <c r="J43" s="109"/>
      <c r="L43" s="91"/>
      <c r="M43" s="92"/>
      <c r="N43" s="92"/>
      <c r="O43" s="92"/>
      <c r="P43" s="92"/>
      <c r="Q43" s="92"/>
      <c r="R43" s="92"/>
      <c r="S43" s="92"/>
      <c r="T43" s="92"/>
      <c r="U43" s="92"/>
      <c r="V43" s="109"/>
    </row>
    <row r="44" s="82" customFormat="1" spans="2:22">
      <c r="B44" s="93"/>
      <c r="C44" s="94"/>
      <c r="D44" s="95"/>
      <c r="E44" s="96"/>
      <c r="F44" s="96"/>
      <c r="G44" s="105"/>
      <c r="H44" s="98"/>
      <c r="I44" s="110"/>
      <c r="J44" s="111"/>
      <c r="L44" s="93"/>
      <c r="M44" s="94"/>
      <c r="N44" s="95"/>
      <c r="O44" s="96"/>
      <c r="P44" s="96"/>
      <c r="Q44" s="126"/>
      <c r="R44" s="98"/>
      <c r="S44" s="110"/>
      <c r="T44" s="98"/>
      <c r="U44" s="110"/>
      <c r="V44" s="111"/>
    </row>
    <row r="45" s="82" customFormat="1" spans="2:22">
      <c r="B45" s="93"/>
      <c r="C45" s="94"/>
      <c r="D45" s="95"/>
      <c r="E45" s="96"/>
      <c r="F45" s="96"/>
      <c r="G45" s="105"/>
      <c r="H45" s="98"/>
      <c r="I45" s="110"/>
      <c r="J45" s="111"/>
      <c r="L45" s="93"/>
      <c r="M45" s="94"/>
      <c r="N45" s="95"/>
      <c r="O45" s="96"/>
      <c r="P45" s="96"/>
      <c r="Q45" s="126"/>
      <c r="R45" s="98"/>
      <c r="S45" s="110"/>
      <c r="T45" s="98"/>
      <c r="U45" s="110"/>
      <c r="V45" s="111"/>
    </row>
    <row r="46" s="82" customFormat="1" spans="2:22">
      <c r="B46" s="93"/>
      <c r="C46" s="94"/>
      <c r="D46" s="95"/>
      <c r="E46" s="96"/>
      <c r="F46" s="96"/>
      <c r="G46" s="105"/>
      <c r="H46" s="98"/>
      <c r="I46" s="110"/>
      <c r="J46" s="111"/>
      <c r="L46" s="93"/>
      <c r="M46" s="94"/>
      <c r="N46" s="95"/>
      <c r="O46" s="96"/>
      <c r="P46" s="96"/>
      <c r="Q46" s="126"/>
      <c r="R46" s="98"/>
      <c r="S46" s="110"/>
      <c r="T46" s="98"/>
      <c r="U46" s="110"/>
      <c r="V46" s="111"/>
    </row>
    <row r="47" s="82" customFormat="1" spans="2:22">
      <c r="B47" s="93"/>
      <c r="C47" s="94"/>
      <c r="D47" s="95"/>
      <c r="E47" s="96"/>
      <c r="F47" s="96"/>
      <c r="G47" s="105"/>
      <c r="H47" s="98"/>
      <c r="I47" s="110"/>
      <c r="J47" s="111"/>
      <c r="L47" s="93"/>
      <c r="M47" s="94"/>
      <c r="N47" s="95"/>
      <c r="O47" s="96"/>
      <c r="P47" s="96"/>
      <c r="Q47" s="126"/>
      <c r="R47" s="98"/>
      <c r="S47" s="110"/>
      <c r="T47" s="98"/>
      <c r="U47" s="110"/>
      <c r="V47" s="111"/>
    </row>
    <row r="48" s="82" customFormat="1" spans="2:22">
      <c r="B48" s="93"/>
      <c r="C48" s="94"/>
      <c r="D48" s="95"/>
      <c r="E48" s="96"/>
      <c r="F48" s="96"/>
      <c r="G48" s="105"/>
      <c r="H48" s="98"/>
      <c r="I48" s="110"/>
      <c r="J48" s="111"/>
      <c r="L48" s="93"/>
      <c r="M48" s="94"/>
      <c r="N48" s="95"/>
      <c r="O48" s="113"/>
      <c r="P48" s="96"/>
      <c r="Q48" s="127"/>
      <c r="R48" s="98"/>
      <c r="S48" s="128"/>
      <c r="T48" s="98"/>
      <c r="U48" s="128"/>
      <c r="V48" s="111"/>
    </row>
    <row r="49" s="83" customFormat="1" ht="16.5" spans="2:22">
      <c r="B49" s="99" t="s">
        <v>37</v>
      </c>
      <c r="C49" s="100">
        <f>SUM(C44:C48)</f>
        <v>0</v>
      </c>
      <c r="D49" s="100">
        <f>SUM(D44:D48)</f>
        <v>0</v>
      </c>
      <c r="E49" s="100"/>
      <c r="F49" s="100"/>
      <c r="G49" s="100"/>
      <c r="H49" s="101"/>
      <c r="I49" s="114" t="str">
        <f>I13</f>
        <v>Expected Peak Net Sales</v>
      </c>
      <c r="J49" s="115">
        <f>SUMPRODUCT(D44:D48,J44:J48)</f>
        <v>0</v>
      </c>
      <c r="K49" s="116"/>
      <c r="L49" s="99" t="s">
        <v>37</v>
      </c>
      <c r="M49" s="100">
        <f>SUM(M44:M48)</f>
        <v>0</v>
      </c>
      <c r="N49" s="100">
        <f>SUM(N44:N48)</f>
        <v>0</v>
      </c>
      <c r="O49" s="100"/>
      <c r="P49" s="100"/>
      <c r="Q49" s="129"/>
      <c r="R49" s="129"/>
      <c r="S49" s="114"/>
      <c r="T49" s="101"/>
      <c r="U49" s="114" t="str">
        <f>U13</f>
        <v>Expected Peak Royalty Revs</v>
      </c>
      <c r="V49" s="115">
        <f>SUMPRODUCT(V44:V48,N44:N48)</f>
        <v>0</v>
      </c>
    </row>
    <row r="51" spans="14:22">
      <c r="N51" s="120"/>
      <c r="O51" s="120"/>
      <c r="P51" s="120"/>
      <c r="Q51" s="117"/>
      <c r="S51" s="130"/>
      <c r="T51" s="131"/>
      <c r="U51" s="132" t="s">
        <v>40</v>
      </c>
      <c r="V51" s="133">
        <f>SUM(J13,V13,J25,V25,J37,V37,J49,V49)</f>
        <v>192.375</v>
      </c>
    </row>
    <row r="53" spans="2:2">
      <c r="B53" s="83" t="str">
        <f>IF(Partnerships!A19="","",Partnerships!A19)</f>
        <v>GLOSSARY</v>
      </c>
    </row>
    <row r="54" spans="2:2">
      <c r="B54" s="85" t="str">
        <f>IF(Partnerships!A20="","",Partnerships!A20)</f>
        <v/>
      </c>
    </row>
    <row r="55" spans="2:2">
      <c r="B55" s="85" t="str">
        <f>IF(Partnerships!A21="","",Partnerships!A21)</f>
        <v/>
      </c>
    </row>
    <row r="56" spans="2:2">
      <c r="B56" s="85" t="str">
        <f>IF(Partnerships!A22="","",Partnerships!A22)</f>
        <v/>
      </c>
    </row>
    <row r="57" spans="2:2">
      <c r="B57" s="85" t="str">
        <f>IF(Partnerships!A23="","",Partnerships!A23)</f>
        <v/>
      </c>
    </row>
    <row r="58" spans="2:2">
      <c r="B58" s="85" t="str">
        <f>IF(Partnerships!A24="","",Partnerships!A24)</f>
        <v/>
      </c>
    </row>
    <row r="59" spans="2:2">
      <c r="B59" s="85" t="str">
        <f>IF(Partnerships!A25="","",Partnerships!A25)</f>
        <v/>
      </c>
    </row>
    <row r="60" spans="2:2">
      <c r="B60" s="85" t="str">
        <f>IF(Partnerships!A26="","",Partnerships!A26)</f>
        <v/>
      </c>
    </row>
    <row r="61" spans="2:2">
      <c r="B61" s="85" t="str">
        <f>IF(Partnerships!A27="","",Partnerships!A27)</f>
        <v/>
      </c>
    </row>
    <row r="62" spans="2:2">
      <c r="B62" s="85" t="str">
        <f>IF(Partnerships!A28="","",Partnerships!A28)</f>
        <v/>
      </c>
    </row>
    <row r="63" spans="2:2">
      <c r="B63" s="85" t="str">
        <f>IF(Partnerships!A29="","",Partnerships!A29)</f>
        <v/>
      </c>
    </row>
    <row r="64" spans="2:2">
      <c r="B64" s="85" t="str">
        <f>IF(Partnerships!A30="","",Partnerships!A30)</f>
        <v/>
      </c>
    </row>
    <row r="65" spans="2:2">
      <c r="B65" s="85" t="str">
        <f>IF(Partnerships!A31="","",Partnerships!A31)</f>
        <v/>
      </c>
    </row>
    <row r="66" spans="2:2">
      <c r="B66" s="85" t="str">
        <f>IF(Partnerships!A32="","",Partnerships!A32)</f>
        <v/>
      </c>
    </row>
    <row r="67" spans="2:2">
      <c r="B67" s="85" t="str">
        <f>IF(Partnerships!A33="","",Partnerships!A33)</f>
        <v/>
      </c>
    </row>
  </sheetData>
  <mergeCells count="28">
    <mergeCell ref="E8:E12"/>
    <mergeCell ref="E20:E24"/>
    <mergeCell ref="E32:E36"/>
    <mergeCell ref="E44:E48"/>
    <mergeCell ref="G8:G12"/>
    <mergeCell ref="G20:G24"/>
    <mergeCell ref="G32:G36"/>
    <mergeCell ref="G44:G48"/>
    <mergeCell ref="I8:I12"/>
    <mergeCell ref="I20:I24"/>
    <mergeCell ref="I32:I36"/>
    <mergeCell ref="I44:I48"/>
    <mergeCell ref="O8:O12"/>
    <mergeCell ref="O20:O24"/>
    <mergeCell ref="O32:O36"/>
    <mergeCell ref="O44:O48"/>
    <mergeCell ref="Q8:Q12"/>
    <mergeCell ref="Q20:Q24"/>
    <mergeCell ref="Q32:Q36"/>
    <mergeCell ref="Q44:Q48"/>
    <mergeCell ref="S8:S12"/>
    <mergeCell ref="S20:S24"/>
    <mergeCell ref="S32:S36"/>
    <mergeCell ref="S44:S48"/>
    <mergeCell ref="U8:U12"/>
    <mergeCell ref="U20:U24"/>
    <mergeCell ref="U32:U36"/>
    <mergeCell ref="U44:U48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zoomScale="130" zoomScaleNormal="130" workbookViewId="0">
      <selection activeCell="J12" sqref="J12"/>
    </sheetView>
  </sheetViews>
  <sheetFormatPr defaultColWidth="9" defaultRowHeight="15.75"/>
  <cols>
    <col min="1" max="1" width="31.8333333333333" style="45" customWidth="1"/>
    <col min="2" max="2" width="12.8" style="46"/>
    <col min="3" max="5" width="10.8666666666667" style="46"/>
    <col min="6" max="16384" width="10.8333333333333" style="46"/>
  </cols>
  <sheetData>
    <row r="1" s="35" customFormat="1" ht="20.25" spans="1:1">
      <c r="A1" s="47" t="str">
        <f>Partnerships!A1</f>
        <v>AKBA </v>
      </c>
    </row>
    <row r="3" s="36" customFormat="1" spans="1:7">
      <c r="A3" s="48" t="s">
        <v>4</v>
      </c>
      <c r="B3" s="36" t="s">
        <v>18</v>
      </c>
      <c r="C3" s="36" t="s">
        <v>41</v>
      </c>
      <c r="D3" s="36" t="s">
        <v>18</v>
      </c>
      <c r="E3" s="36" t="s">
        <v>41</v>
      </c>
      <c r="G3" s="48"/>
    </row>
    <row r="4" s="36" customFormat="1" spans="1:7">
      <c r="A4" s="48" t="s">
        <v>3</v>
      </c>
      <c r="B4" s="49"/>
      <c r="C4" s="49"/>
      <c r="D4" s="49"/>
      <c r="E4" s="49"/>
      <c r="G4" s="48"/>
    </row>
    <row r="5" spans="1:7">
      <c r="A5" s="45" t="s">
        <v>42</v>
      </c>
      <c r="G5" s="45"/>
    </row>
    <row r="6" spans="1:7">
      <c r="A6" s="45" t="s">
        <v>43</v>
      </c>
      <c r="G6" s="45"/>
    </row>
    <row r="7" s="36" customFormat="1" spans="1:7">
      <c r="A7" s="48" t="s">
        <v>44</v>
      </c>
      <c r="B7" s="50">
        <f>SUM(B5:B6)</f>
        <v>0</v>
      </c>
      <c r="C7" s="50">
        <f>C6</f>
        <v>0</v>
      </c>
      <c r="D7" s="50">
        <f t="shared" ref="D7" si="0">SUM(D5:D6)</f>
        <v>0</v>
      </c>
      <c r="E7" s="50">
        <f>E6</f>
        <v>0</v>
      </c>
      <c r="G7" s="48"/>
    </row>
    <row r="8" spans="1:7">
      <c r="A8" s="45" t="s">
        <v>45</v>
      </c>
      <c r="B8" s="46">
        <f>B5-B10</f>
        <v>0</v>
      </c>
      <c r="C8" s="46">
        <v>0</v>
      </c>
      <c r="D8" s="46">
        <f>D5-D10</f>
        <v>0</v>
      </c>
      <c r="E8" s="46">
        <v>0</v>
      </c>
      <c r="G8" s="45"/>
    </row>
    <row r="9" s="37" customFormat="1" spans="1:7">
      <c r="A9" s="51" t="s">
        <v>46</v>
      </c>
      <c r="B9" s="37">
        <v>0.98</v>
      </c>
      <c r="C9" s="37">
        <v>0</v>
      </c>
      <c r="D9" s="37">
        <v>0.98</v>
      </c>
      <c r="E9" s="37">
        <v>0</v>
      </c>
      <c r="G9" s="51"/>
    </row>
    <row r="10" s="36" customFormat="1" spans="1:7">
      <c r="A10" s="48" t="s">
        <v>47</v>
      </c>
      <c r="B10" s="50">
        <f>B9*B5</f>
        <v>0</v>
      </c>
      <c r="C10" s="50">
        <f>C6</f>
        <v>0</v>
      </c>
      <c r="D10" s="50">
        <f>D9*D5</f>
        <v>0</v>
      </c>
      <c r="E10" s="50">
        <f>E6</f>
        <v>0</v>
      </c>
      <c r="G10" s="48"/>
    </row>
    <row r="11" spans="1:7">
      <c r="A11" s="45" t="s">
        <v>48</v>
      </c>
      <c r="G11" s="45"/>
    </row>
    <row r="12" s="36" customFormat="1" spans="1:7">
      <c r="A12" s="48" t="s">
        <v>49</v>
      </c>
      <c r="B12" s="50">
        <f>B10-B11</f>
        <v>0</v>
      </c>
      <c r="C12" s="50">
        <f t="shared" ref="C12:E12" si="1">C10-C11</f>
        <v>0</v>
      </c>
      <c r="D12" s="50">
        <f t="shared" si="1"/>
        <v>0</v>
      </c>
      <c r="E12" s="50">
        <f t="shared" si="1"/>
        <v>0</v>
      </c>
      <c r="G12" s="48"/>
    </row>
    <row r="13" s="38" customFormat="1" spans="1:7">
      <c r="A13" s="51" t="s">
        <v>50</v>
      </c>
      <c r="B13" s="37">
        <v>0.21</v>
      </c>
      <c r="C13" s="38">
        <f>B13</f>
        <v>0.21</v>
      </c>
      <c r="D13" s="37">
        <v>0.21</v>
      </c>
      <c r="E13" s="37">
        <v>0.21</v>
      </c>
      <c r="G13" s="51"/>
    </row>
    <row r="14" spans="1:7">
      <c r="A14" s="45" t="s">
        <v>51</v>
      </c>
      <c r="B14" s="46">
        <f>B13*B12</f>
        <v>0</v>
      </c>
      <c r="C14" s="46">
        <f t="shared" ref="C14:E14" si="2">C13*C12</f>
        <v>0</v>
      </c>
      <c r="D14" s="40">
        <f t="shared" si="2"/>
        <v>0</v>
      </c>
      <c r="E14" s="46">
        <f t="shared" si="2"/>
        <v>0</v>
      </c>
      <c r="G14" s="45"/>
    </row>
    <row r="15" s="36" customFormat="1" spans="1:7">
      <c r="A15" s="48" t="s">
        <v>52</v>
      </c>
      <c r="B15" s="50">
        <f>B12-B14</f>
        <v>0</v>
      </c>
      <c r="C15" s="50">
        <f t="shared" ref="C15:E15" si="3">C12-C14</f>
        <v>0</v>
      </c>
      <c r="D15" s="50">
        <f t="shared" si="3"/>
        <v>0</v>
      </c>
      <c r="E15" s="50">
        <f t="shared" si="3"/>
        <v>0</v>
      </c>
      <c r="G15" s="48"/>
    </row>
    <row r="16" s="38" customFormat="1" spans="1:7">
      <c r="A16" s="51" t="s">
        <v>53</v>
      </c>
      <c r="B16" s="37" t="e">
        <f>B15/B5</f>
        <v>#DIV/0!</v>
      </c>
      <c r="C16" s="37" t="e">
        <f t="shared" ref="C16:E16" si="4">C15/C5</f>
        <v>#DIV/0!</v>
      </c>
      <c r="D16" s="37" t="e">
        <f t="shared" si="4"/>
        <v>#DIV/0!</v>
      </c>
      <c r="E16" s="37" t="e">
        <f t="shared" si="4"/>
        <v>#DIV/0!</v>
      </c>
      <c r="G16" s="51"/>
    </row>
    <row r="17" s="39" customFormat="1" spans="1:7">
      <c r="A17" s="52" t="s">
        <v>54</v>
      </c>
      <c r="B17" s="39">
        <v>5</v>
      </c>
      <c r="C17" s="39">
        <v>5</v>
      </c>
      <c r="D17" s="39">
        <v>5</v>
      </c>
      <c r="E17" s="39">
        <v>5</v>
      </c>
      <c r="G17" s="52"/>
    </row>
    <row r="18" s="36" customFormat="1" spans="1:8">
      <c r="A18" s="48" t="s">
        <v>55</v>
      </c>
      <c r="B18" s="50">
        <f>B17*B15</f>
        <v>0</v>
      </c>
      <c r="C18" s="50">
        <f>C17*C15</f>
        <v>0</v>
      </c>
      <c r="D18" s="50">
        <f>D17*D15</f>
        <v>0</v>
      </c>
      <c r="E18" s="50">
        <f t="shared" ref="E18" si="5">E17*E15</f>
        <v>0</v>
      </c>
      <c r="G18" s="48"/>
      <c r="H18" s="53"/>
    </row>
    <row r="20" s="36" customFormat="1" spans="1:5">
      <c r="A20" s="54" t="s">
        <v>56</v>
      </c>
      <c r="B20" s="49" t="s">
        <v>57</v>
      </c>
      <c r="C20" s="49"/>
      <c r="D20" s="49" t="s">
        <v>58</v>
      </c>
      <c r="E20" s="49"/>
    </row>
    <row r="21" s="36" customFormat="1" spans="2:5">
      <c r="B21" s="49">
        <f>SUM(B18,C18)</f>
        <v>0</v>
      </c>
      <c r="C21" s="49"/>
      <c r="D21" s="49">
        <f>SUM(D18,E18)</f>
        <v>0</v>
      </c>
      <c r="E21" s="49"/>
    </row>
    <row r="23" spans="4:12">
      <c r="D23" s="49" t="s">
        <v>59</v>
      </c>
      <c r="E23" s="49"/>
      <c r="F23" s="49"/>
      <c r="G23" s="49"/>
      <c r="I23" s="49" t="s">
        <v>60</v>
      </c>
      <c r="J23" s="49"/>
      <c r="K23" s="49"/>
      <c r="L23" s="49"/>
    </row>
    <row r="24" spans="1:12">
      <c r="A24" s="45" t="s">
        <v>61</v>
      </c>
      <c r="B24" s="46">
        <f>SUM(B21,D21)</f>
        <v>0</v>
      </c>
      <c r="D24" s="49" t="s">
        <v>62</v>
      </c>
      <c r="E24" s="49" t="s">
        <v>63</v>
      </c>
      <c r="F24" s="49" t="s">
        <v>64</v>
      </c>
      <c r="G24" s="49" t="s">
        <v>65</v>
      </c>
      <c r="I24" s="49" t="s">
        <v>62</v>
      </c>
      <c r="J24" s="49" t="s">
        <v>63</v>
      </c>
      <c r="K24" s="49" t="s">
        <v>64</v>
      </c>
      <c r="L24" s="49" t="s">
        <v>65</v>
      </c>
    </row>
    <row r="25" spans="1:12">
      <c r="A25" s="45" t="s">
        <v>66</v>
      </c>
      <c r="B25" s="55">
        <f>B46</f>
        <v>348.506</v>
      </c>
      <c r="D25" s="56"/>
      <c r="E25" s="56"/>
      <c r="F25" s="56"/>
      <c r="G25" s="57">
        <v>4</v>
      </c>
      <c r="I25" s="56"/>
      <c r="J25" s="56"/>
      <c r="K25" s="56"/>
      <c r="L25" s="57">
        <v>4</v>
      </c>
    </row>
    <row r="26" s="38" customFormat="1" spans="1:12">
      <c r="A26" s="58" t="s">
        <v>67</v>
      </c>
      <c r="B26" s="38">
        <f>B24/B25-1</f>
        <v>-1</v>
      </c>
      <c r="D26" s="59" t="s">
        <v>68</v>
      </c>
      <c r="E26" s="59" t="s">
        <v>68</v>
      </c>
      <c r="F26" s="59" t="s">
        <v>68</v>
      </c>
      <c r="G26" s="59"/>
      <c r="I26" s="59" t="s">
        <v>68</v>
      </c>
      <c r="J26" s="59" t="s">
        <v>68</v>
      </c>
      <c r="K26" s="59" t="s">
        <v>68</v>
      </c>
      <c r="L26" s="59"/>
    </row>
    <row r="27" spans="1:12">
      <c r="A27" s="60" t="s">
        <v>69</v>
      </c>
      <c r="B27" s="55">
        <f>B32</f>
        <v>12.86</v>
      </c>
      <c r="D27" s="61"/>
      <c r="E27" s="61"/>
      <c r="F27" s="61"/>
      <c r="G27" s="61"/>
      <c r="I27" s="61"/>
      <c r="J27" s="61"/>
      <c r="K27" s="61"/>
      <c r="L27" s="61"/>
    </row>
    <row r="28" s="40" customFormat="1" spans="1:12">
      <c r="A28" s="60" t="s">
        <v>70</v>
      </c>
      <c r="B28" s="40">
        <f>(1+B26)*B27</f>
        <v>0</v>
      </c>
      <c r="D28" s="56">
        <v>11</v>
      </c>
      <c r="E28" s="56"/>
      <c r="F28" s="56"/>
      <c r="G28" s="57">
        <v>4</v>
      </c>
      <c r="I28" s="56"/>
      <c r="J28" s="56"/>
      <c r="K28" s="56"/>
      <c r="L28" s="56"/>
    </row>
    <row r="30" s="41" customFormat="1" spans="1:1">
      <c r="A30" s="62" t="s">
        <v>71</v>
      </c>
    </row>
    <row r="31" s="42" customFormat="1" ht="15" outlineLevel="1" spans="1:2">
      <c r="A31" s="63" t="s">
        <v>72</v>
      </c>
      <c r="B31" s="64">
        <v>43623</v>
      </c>
    </row>
    <row r="32" s="42" customFormat="1" ht="15" outlineLevel="1" spans="1:2">
      <c r="A32" s="65" t="s">
        <v>69</v>
      </c>
      <c r="B32" s="66">
        <v>12.86</v>
      </c>
    </row>
    <row r="33" s="42" customFormat="1" ht="15" outlineLevel="1" spans="1:6">
      <c r="A33" s="63" t="s">
        <v>73</v>
      </c>
      <c r="B33" s="67">
        <v>27.1</v>
      </c>
      <c r="F33" s="68"/>
    </row>
    <row r="34" s="42" customFormat="1" ht="15" outlineLevel="1" spans="1:2">
      <c r="A34" s="63" t="s">
        <v>74</v>
      </c>
      <c r="B34" s="69">
        <f>B32*B33</f>
        <v>348.506</v>
      </c>
    </row>
    <row r="35" s="42" customFormat="1" ht="15" outlineLevel="1" spans="1:1">
      <c r="A35" s="70"/>
    </row>
    <row r="36" s="42" customFormat="1" ht="15" outlineLevel="1" spans="1:1">
      <c r="A36" s="63" t="s">
        <v>75</v>
      </c>
    </row>
    <row r="37" s="43" customFormat="1" ht="63" outlineLevel="1" spans="1:4">
      <c r="A37" s="71"/>
      <c r="B37" s="72" t="s">
        <v>76</v>
      </c>
      <c r="C37" s="72" t="s">
        <v>77</v>
      </c>
      <c r="D37" s="72" t="s">
        <v>78</v>
      </c>
    </row>
    <row r="38" s="42" customFormat="1" outlineLevel="1" spans="1:7">
      <c r="A38" s="70" t="s">
        <v>79</v>
      </c>
      <c r="B38" s="73">
        <v>0</v>
      </c>
      <c r="C38" s="74">
        <v>0</v>
      </c>
      <c r="D38" s="75" t="s">
        <v>80</v>
      </c>
      <c r="G38" s="76"/>
    </row>
    <row r="39" s="42" customFormat="1" ht="15" outlineLevel="1" spans="1:8">
      <c r="A39" s="63" t="s">
        <v>81</v>
      </c>
      <c r="B39" s="73">
        <v>0</v>
      </c>
      <c r="C39" s="74">
        <v>0</v>
      </c>
      <c r="D39" s="75" t="s">
        <v>80</v>
      </c>
      <c r="H39" s="68"/>
    </row>
    <row r="40" s="42" customFormat="1" outlineLevel="1" spans="1:8">
      <c r="A40" s="63" t="s">
        <v>82</v>
      </c>
      <c r="B40" s="73">
        <v>0</v>
      </c>
      <c r="C40" s="74">
        <v>0</v>
      </c>
      <c r="D40" s="75" t="s">
        <v>80</v>
      </c>
      <c r="G40" s="76"/>
      <c r="H40" s="68"/>
    </row>
    <row r="41" s="42" customFormat="1" outlineLevel="1" spans="1:7">
      <c r="A41" s="63" t="s">
        <v>83</v>
      </c>
      <c r="B41" s="73">
        <v>0</v>
      </c>
      <c r="C41" s="74">
        <v>0</v>
      </c>
      <c r="D41" s="75" t="s">
        <v>80</v>
      </c>
      <c r="G41" s="76"/>
    </row>
    <row r="42" s="42" customFormat="1" outlineLevel="1" spans="1:7">
      <c r="A42" s="63" t="s">
        <v>84</v>
      </c>
      <c r="B42" s="73">
        <v>0</v>
      </c>
      <c r="C42" s="74">
        <v>0</v>
      </c>
      <c r="D42" s="75" t="s">
        <v>80</v>
      </c>
      <c r="G42" s="76"/>
    </row>
    <row r="43" s="44" customFormat="1" outlineLevel="1" spans="1:2">
      <c r="A43" s="77" t="s">
        <v>85</v>
      </c>
      <c r="B43" s="78">
        <f>SUMIF(D38:D42,"Y",B38:B42)</f>
        <v>0</v>
      </c>
    </row>
    <row r="44" s="42" customFormat="1" ht="15" outlineLevel="1" spans="1:1">
      <c r="A44" s="70"/>
    </row>
    <row r="45" s="42" customFormat="1" ht="15" outlineLevel="1" spans="1:2">
      <c r="A45" s="63" t="s">
        <v>86</v>
      </c>
      <c r="B45" s="79">
        <f>B33+B43</f>
        <v>27.1</v>
      </c>
    </row>
    <row r="46" s="42" customFormat="1" ht="15" outlineLevel="1" spans="1:2">
      <c r="A46" s="63" t="s">
        <v>87</v>
      </c>
      <c r="B46" s="75">
        <f>B32*B45</f>
        <v>348.506</v>
      </c>
    </row>
    <row r="51" s="36" customFormat="1" spans="1:1">
      <c r="A51" s="48" t="str">
        <f>IF('Peak Sales'!B53="","",'Peak Sales'!B53)</f>
        <v>GLOSSARY</v>
      </c>
    </row>
    <row r="52" spans="1:1">
      <c r="A52" s="45" t="str">
        <f>IF('Peak Sales'!B54="","",'Peak Sales'!B54)</f>
        <v/>
      </c>
    </row>
    <row r="53" spans="1:1">
      <c r="A53" s="45" t="str">
        <f>IF('Peak Sales'!B55="","",'Peak Sales'!B55)</f>
        <v/>
      </c>
    </row>
    <row r="54" spans="1:1">
      <c r="A54" s="45" t="str">
        <f>IF('Peak Sales'!B56="","",'Peak Sales'!B56)</f>
        <v/>
      </c>
    </row>
    <row r="55" spans="1:1">
      <c r="A55" s="45" t="str">
        <f>IF('Peak Sales'!B57="","",'Peak Sales'!B57)</f>
        <v/>
      </c>
    </row>
    <row r="56" spans="1:1">
      <c r="A56" s="45" t="str">
        <f>IF('Peak Sales'!B58="","",'Peak Sales'!B58)</f>
        <v/>
      </c>
    </row>
    <row r="57" spans="1:1">
      <c r="A57" s="45" t="str">
        <f>IF('Peak Sales'!B59="","",'Peak Sales'!B59)</f>
        <v/>
      </c>
    </row>
    <row r="58" spans="1:1">
      <c r="A58" s="45" t="str">
        <f>IF('Peak Sales'!B60="","",'Peak Sales'!B60)</f>
        <v/>
      </c>
    </row>
    <row r="59" spans="1:1">
      <c r="A59" s="45" t="str">
        <f>IF('Peak Sales'!B61="","",'Peak Sales'!B61)</f>
        <v/>
      </c>
    </row>
    <row r="60" spans="1:1">
      <c r="A60" s="45" t="str">
        <f>IF('Peak Sales'!B62="","",'Peak Sales'!B62)</f>
        <v/>
      </c>
    </row>
    <row r="61" spans="1:1">
      <c r="A61" s="45" t="str">
        <f>IF('Peak Sales'!B63="","",'Peak Sales'!B63)</f>
        <v/>
      </c>
    </row>
  </sheetData>
  <mergeCells count="6">
    <mergeCell ref="B20:C20"/>
    <mergeCell ref="D20:E20"/>
    <mergeCell ref="B21:C21"/>
    <mergeCell ref="D21:E21"/>
    <mergeCell ref="D23:G23"/>
    <mergeCell ref="I23:L23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zoomScale="150" zoomScaleNormal="150" workbookViewId="0">
      <selection activeCell="B14" sqref="B14"/>
    </sheetView>
  </sheetViews>
  <sheetFormatPr defaultColWidth="9" defaultRowHeight="15.75" outlineLevelRow="4" outlineLevelCol="5"/>
  <cols>
    <col min="1" max="1" width="10.8333333333333" style="21"/>
    <col min="2" max="2" width="23.6666666666667" style="21" customWidth="1"/>
    <col min="3" max="3" width="32.6666666666667" style="21" customWidth="1"/>
    <col min="4" max="4" width="22.6666666666667" style="21" customWidth="1"/>
    <col min="5" max="5" width="11.3333333333333" style="22" customWidth="1"/>
    <col min="6" max="6" width="11" style="23" customWidth="1"/>
    <col min="7" max="16384" width="10.8333333333333" style="21"/>
  </cols>
  <sheetData>
    <row r="1" s="20" customFormat="1" ht="20.25" spans="1:6">
      <c r="A1" s="20" t="s">
        <v>17</v>
      </c>
      <c r="E1" s="24"/>
      <c r="F1" s="25"/>
    </row>
    <row r="2" ht="31.5" spans="1:6">
      <c r="A2" s="26" t="s">
        <v>72</v>
      </c>
      <c r="B2" s="26" t="s">
        <v>88</v>
      </c>
      <c r="C2" s="26" t="s">
        <v>89</v>
      </c>
      <c r="D2" s="26" t="s">
        <v>90</v>
      </c>
      <c r="E2" s="27" t="s">
        <v>91</v>
      </c>
      <c r="F2" s="28" t="s">
        <v>92</v>
      </c>
    </row>
    <row r="3" spans="1:6">
      <c r="A3" s="29" t="s">
        <v>93</v>
      </c>
      <c r="B3" s="29" t="s">
        <v>94</v>
      </c>
      <c r="C3" s="30" t="s">
        <v>95</v>
      </c>
      <c r="D3" s="31" t="s">
        <v>96</v>
      </c>
      <c r="E3" s="22" t="s">
        <v>97</v>
      </c>
      <c r="F3" s="23" t="s">
        <v>98</v>
      </c>
    </row>
    <row r="4" spans="1:6">
      <c r="A4" s="32">
        <v>2020</v>
      </c>
      <c r="B4" s="29" t="s">
        <v>99</v>
      </c>
      <c r="C4" s="33" t="s">
        <v>95</v>
      </c>
      <c r="D4" s="31" t="s">
        <v>96</v>
      </c>
      <c r="E4" s="22" t="s">
        <v>97</v>
      </c>
      <c r="F4" s="23" t="s">
        <v>98</v>
      </c>
    </row>
    <row r="5" spans="1:6">
      <c r="A5" s="29" t="s">
        <v>100</v>
      </c>
      <c r="B5" s="34" t="s">
        <v>101</v>
      </c>
      <c r="C5" s="34" t="s">
        <v>95</v>
      </c>
      <c r="D5" s="31" t="s">
        <v>96</v>
      </c>
      <c r="E5" s="22" t="s">
        <v>97</v>
      </c>
      <c r="F5" s="23" t="s">
        <v>98</v>
      </c>
    </row>
  </sheetData>
  <hyperlinks>
    <hyperlink ref="C3" r:id="rId1" display="https://seekingalpha.com/article/4278609-totality-voxelotor-phase-3-data-increases-conviction-global-blood-therapeutics" tooltip="https://seekingalpha.com/article/4278609-totality-voxelotor-phase-3-data-increases-conviction-global-blood-therapeutics"/>
    <hyperlink ref="C4" r:id="rId1" display="https://seekingalpha.com/article/4278609-totality-voxelotor-phase-3-data-increases-conviction-global-blood-therapeutics"/>
  </hyperlink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="140" zoomScaleNormal="140" workbookViewId="0">
      <selection activeCell="G19" sqref="G19"/>
    </sheetView>
  </sheetViews>
  <sheetFormatPr defaultColWidth="9" defaultRowHeight="15.75"/>
  <cols>
    <col min="1" max="1" width="10.8333333333333" style="3"/>
    <col min="2" max="2" width="12.6666666666667" style="4" customWidth="1"/>
    <col min="3" max="3" width="9.33333333333333" style="5" customWidth="1"/>
    <col min="4" max="4" width="9.66666666666667" style="5" customWidth="1"/>
    <col min="5" max="5" width="10.8333333333333" style="6"/>
    <col min="6" max="6" width="11.6666666666667" style="7" customWidth="1"/>
    <col min="7" max="7" width="15" style="8" customWidth="1"/>
    <col min="8" max="8" width="13.8333333333333" style="8" customWidth="1"/>
    <col min="9" max="9" width="13.1666666666667" style="8" customWidth="1"/>
    <col min="10" max="10" width="18.1666666666667" style="9" customWidth="1"/>
    <col min="11" max="11" width="17" style="3" customWidth="1"/>
    <col min="12" max="12" width="19.8333333333333" style="10" customWidth="1"/>
    <col min="13" max="13" width="21.6666666666667" style="10" customWidth="1"/>
    <col min="14" max="16384" width="10.8333333333333" style="10"/>
  </cols>
  <sheetData>
    <row r="1" s="1" customFormat="1" ht="20.25" spans="1:5">
      <c r="A1" s="1" t="s">
        <v>102</v>
      </c>
      <c r="E1" s="11"/>
    </row>
    <row r="3" s="2" customFormat="1" ht="31.5" spans="1:13">
      <c r="A3" s="12" t="s">
        <v>72</v>
      </c>
      <c r="B3" s="13" t="s">
        <v>103</v>
      </c>
      <c r="C3" s="14" t="s">
        <v>104</v>
      </c>
      <c r="D3" s="14" t="s">
        <v>105</v>
      </c>
      <c r="E3" s="15" t="s">
        <v>106</v>
      </c>
      <c r="F3" s="16" t="s">
        <v>107</v>
      </c>
      <c r="G3" s="17" t="s">
        <v>108</v>
      </c>
      <c r="H3" s="17" t="s">
        <v>109</v>
      </c>
      <c r="I3" s="17" t="s">
        <v>110</v>
      </c>
      <c r="J3" s="18" t="s">
        <v>111</v>
      </c>
      <c r="K3" s="12" t="s">
        <v>112</v>
      </c>
      <c r="L3" s="2" t="s">
        <v>113</v>
      </c>
      <c r="M3" s="2" t="s">
        <v>114</v>
      </c>
    </row>
    <row r="4" spans="5:10">
      <c r="E4" s="6" t="str">
        <f>IF(D4="","",C4/D4-1)</f>
        <v/>
      </c>
      <c r="F4" s="7" t="str">
        <f>IF(C4="","",B4*C4)</f>
        <v/>
      </c>
      <c r="H4" s="8" t="str">
        <f>IF(G4="","",F4+G4)</f>
        <v/>
      </c>
      <c r="J4" s="19" t="str">
        <f>IF(I4="","",G4/I4)</f>
        <v/>
      </c>
    </row>
    <row r="5" spans="5:5">
      <c r="E5" s="6" t="str">
        <f t="shared" ref="E5:E15" si="0">IF(D5="","",C5/D5-1)</f>
        <v/>
      </c>
    </row>
    <row r="6" spans="5:5">
      <c r="E6" s="6" t="str">
        <f t="shared" si="0"/>
        <v/>
      </c>
    </row>
    <row r="7" spans="5:5">
      <c r="E7" s="6" t="str">
        <f t="shared" si="0"/>
        <v/>
      </c>
    </row>
    <row r="8" spans="5:5">
      <c r="E8" s="6" t="str">
        <f t="shared" si="0"/>
        <v/>
      </c>
    </row>
    <row r="9" spans="5:5">
      <c r="E9" s="6" t="str">
        <f t="shared" si="0"/>
        <v/>
      </c>
    </row>
    <row r="10" spans="5:5">
      <c r="E10" s="6" t="str">
        <f t="shared" si="0"/>
        <v/>
      </c>
    </row>
    <row r="11" spans="5:5">
      <c r="E11" s="6" t="str">
        <f t="shared" si="0"/>
        <v/>
      </c>
    </row>
    <row r="12" spans="5:5">
      <c r="E12" s="6" t="str">
        <f t="shared" si="0"/>
        <v/>
      </c>
    </row>
    <row r="13" spans="5:5">
      <c r="E13" s="6" t="str">
        <f t="shared" si="0"/>
        <v/>
      </c>
    </row>
    <row r="14" spans="5:5">
      <c r="E14" s="6" t="str">
        <f t="shared" si="0"/>
        <v/>
      </c>
    </row>
    <row r="15" spans="5:5">
      <c r="E15" s="6" t="str">
        <f t="shared" si="0"/>
        <v/>
      </c>
    </row>
  </sheetData>
  <pageMargins left="0.699305555555556" right="0.699305555555556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Partnerships</vt:lpstr>
      <vt:lpstr>Peak Sales</vt:lpstr>
      <vt:lpstr>PT</vt:lpstr>
      <vt:lpstr>Catalysts</vt:lpstr>
      <vt:lpstr>Dilution History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frank</cp:lastModifiedBy>
  <dcterms:created xsi:type="dcterms:W3CDTF">2015-03-05T22:20:00Z</dcterms:created>
  <dcterms:modified xsi:type="dcterms:W3CDTF">2019-08-14T16:59:28Z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