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A0D72AD4-FD34-4048-BCCC-160018476911}" xr6:coauthVersionLast="38" xr6:coauthVersionMax="38" xr10:uidLastSave="{00000000-0000-0000-0000-000000000000}"/>
  <bookViews>
    <workbookView xWindow="0" yWindow="0" windowWidth="20496" windowHeight="8112" firstSheet="10" activeTab="11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0" i="182" l="1"/>
  <c r="R10" i="182"/>
  <c r="Q10" i="182"/>
  <c r="P10" i="182"/>
  <c r="O10" i="182"/>
  <c r="N10" i="182"/>
  <c r="M10" i="182"/>
  <c r="L10" i="182"/>
  <c r="K10" i="182"/>
  <c r="J10" i="182"/>
  <c r="S9" i="182"/>
  <c r="R9" i="182"/>
  <c r="Q9" i="182"/>
  <c r="P9" i="182"/>
  <c r="O9" i="182"/>
  <c r="N9" i="182"/>
  <c r="M9" i="182"/>
  <c r="L9" i="182"/>
  <c r="K9" i="182"/>
  <c r="J9" i="182"/>
  <c r="S8" i="182"/>
  <c r="R8" i="182"/>
  <c r="Q8" i="182"/>
  <c r="P8" i="182"/>
  <c r="O8" i="182"/>
  <c r="N8" i="182"/>
  <c r="M8" i="182"/>
  <c r="L8" i="182"/>
  <c r="K8" i="182"/>
  <c r="J8" i="182"/>
  <c r="S7" i="182"/>
  <c r="R7" i="182"/>
  <c r="Q7" i="182"/>
  <c r="P7" i="182"/>
  <c r="O7" i="182"/>
  <c r="N7" i="182"/>
  <c r="M7" i="182"/>
  <c r="L7" i="182"/>
  <c r="K7" i="182"/>
  <c r="J7" i="182"/>
  <c r="S6" i="182"/>
  <c r="R6" i="182"/>
  <c r="Q6" i="182"/>
  <c r="P6" i="182"/>
  <c r="O6" i="182"/>
  <c r="N6" i="182"/>
  <c r="M6" i="182"/>
  <c r="L6" i="182"/>
  <c r="K6" i="182"/>
  <c r="J6" i="182"/>
  <c r="S5" i="182"/>
  <c r="R5" i="182"/>
  <c r="Q5" i="182"/>
  <c r="P5" i="182"/>
  <c r="O5" i="182"/>
  <c r="N5" i="182"/>
  <c r="M5" i="182"/>
  <c r="L5" i="182"/>
  <c r="K5" i="182"/>
  <c r="J5" i="182"/>
  <c r="H10" i="182"/>
  <c r="H9" i="182"/>
  <c r="H8" i="182"/>
  <c r="H7" i="182"/>
  <c r="H6" i="182"/>
  <c r="H5" i="182"/>
  <c r="S19" i="182"/>
  <c r="R19" i="182"/>
  <c r="Q19" i="182"/>
  <c r="P19" i="182"/>
  <c r="O19" i="182"/>
  <c r="N19" i="182"/>
  <c r="M19" i="182"/>
  <c r="L19" i="182"/>
  <c r="K19" i="182"/>
  <c r="J19" i="182"/>
  <c r="I19" i="182"/>
  <c r="H19" i="182"/>
  <c r="S18" i="182"/>
  <c r="R18" i="182"/>
  <c r="Q18" i="182"/>
  <c r="P18" i="182"/>
  <c r="O18" i="182"/>
  <c r="N18" i="182"/>
  <c r="M18" i="182"/>
  <c r="L18" i="182"/>
  <c r="K18" i="182"/>
  <c r="J18" i="182"/>
  <c r="I18" i="182"/>
  <c r="H18" i="182"/>
  <c r="S17" i="182"/>
  <c r="R17" i="182"/>
  <c r="Q17" i="182"/>
  <c r="P17" i="182"/>
  <c r="O17" i="182"/>
  <c r="N17" i="182"/>
  <c r="M17" i="182"/>
  <c r="L17" i="182"/>
  <c r="K17" i="182"/>
  <c r="J17" i="182"/>
  <c r="I17" i="182"/>
  <c r="H17" i="182"/>
  <c r="S16" i="182"/>
  <c r="R16" i="182"/>
  <c r="Q16" i="182"/>
  <c r="P16" i="182"/>
  <c r="O16" i="182"/>
  <c r="N16" i="182"/>
  <c r="M16" i="182"/>
  <c r="L16" i="182"/>
  <c r="K16" i="182"/>
  <c r="J16" i="182"/>
  <c r="I16" i="182"/>
  <c r="H16" i="182"/>
  <c r="S15" i="182"/>
  <c r="R15" i="182"/>
  <c r="Q15" i="182"/>
  <c r="P15" i="182"/>
  <c r="O15" i="182"/>
  <c r="N15" i="182"/>
  <c r="M15" i="182"/>
  <c r="L15" i="182"/>
  <c r="K15" i="182"/>
  <c r="J15" i="182"/>
  <c r="I15" i="182"/>
  <c r="H15" i="182"/>
  <c r="S14" i="182"/>
  <c r="R14" i="182"/>
  <c r="Q14" i="182"/>
  <c r="P14" i="182"/>
  <c r="O14" i="182"/>
  <c r="N14" i="182"/>
  <c r="M14" i="182"/>
  <c r="L14" i="182"/>
  <c r="K14" i="182"/>
  <c r="J14" i="182"/>
  <c r="I14" i="182"/>
  <c r="H14" i="182"/>
  <c r="I16" i="180" l="1"/>
  <c r="G41" i="154" l="1"/>
  <c r="G40" i="154"/>
  <c r="G39" i="154"/>
  <c r="F39" i="154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D18" i="207" l="1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R8" i="180" l="1"/>
  <c r="S8" i="180" s="1"/>
  <c r="G11" i="182" l="1"/>
  <c r="F11" i="182"/>
  <c r="E6" i="182"/>
  <c r="D6" i="182"/>
  <c r="C6" i="182"/>
  <c r="G10" i="182" l="1"/>
  <c r="F10" i="182"/>
  <c r="E10" i="182"/>
  <c r="D10" i="182"/>
  <c r="C10" i="182"/>
  <c r="G9" i="182"/>
  <c r="F9" i="182"/>
  <c r="E9" i="182"/>
  <c r="D9" i="182"/>
  <c r="C9" i="182"/>
  <c r="G8" i="182"/>
  <c r="F8" i="182"/>
  <c r="E8" i="182"/>
  <c r="D8" i="182"/>
  <c r="C8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P5" i="180" l="1"/>
  <c r="E11" i="182"/>
  <c r="D11" i="182"/>
  <c r="K15" i="180"/>
  <c r="M19" i="180" s="1"/>
  <c r="N19" i="180"/>
  <c r="G11" i="180"/>
  <c r="Q5" i="180" l="1"/>
  <c r="C11" i="182"/>
  <c r="H11" i="182"/>
  <c r="M17" i="180"/>
  <c r="R5" i="180" l="1"/>
  <c r="S5" i="180" l="1"/>
  <c r="I5" i="180" l="1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I15" i="180"/>
  <c r="I11" i="180"/>
  <c r="J15" i="180"/>
  <c r="G38" i="154"/>
  <c r="G42" i="154"/>
  <c r="G19" i="155"/>
  <c r="G21" i="155" s="1"/>
  <c r="G23" i="155" s="1"/>
  <c r="G44" i="154" l="1"/>
  <c r="L17" i="180"/>
  <c r="L19" i="180"/>
  <c r="K17" i="180"/>
  <c r="K19" i="180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P9" i="180"/>
  <c r="L7" i="180"/>
  <c r="M7" i="180" s="1"/>
  <c r="N7" i="180" s="1"/>
  <c r="O7" i="180" s="1"/>
  <c r="K6" i="180"/>
  <c r="J11" i="180"/>
  <c r="Q9" i="180" l="1"/>
  <c r="P7" i="180"/>
  <c r="Q10" i="180"/>
  <c r="K11" i="180"/>
  <c r="L6" i="180"/>
  <c r="L11" i="180" s="1"/>
  <c r="J11" i="182"/>
  <c r="K11" i="182"/>
  <c r="R9" i="180" l="1"/>
  <c r="M6" i="180"/>
  <c r="R10" i="180"/>
  <c r="Q7" i="180"/>
  <c r="M11" i="180"/>
  <c r="L11" i="182" l="1"/>
  <c r="S10" i="180"/>
  <c r="S9" i="180"/>
  <c r="N6" i="180"/>
  <c r="O6" i="180" s="1"/>
  <c r="R7" i="180"/>
  <c r="M11" i="182" l="1"/>
  <c r="P6" i="180"/>
  <c r="O11" i="180"/>
  <c r="N11" i="180"/>
  <c r="S7" i="180"/>
  <c r="N11" i="182"/>
  <c r="Q6" i="180" l="1"/>
  <c r="P11" i="180"/>
  <c r="O11" i="182"/>
  <c r="P11" i="182" l="1"/>
  <c r="R6" i="180"/>
  <c r="Q11" i="180"/>
  <c r="S6" i="180" l="1"/>
  <c r="R11" i="180"/>
  <c r="Q11" i="182"/>
  <c r="R11" i="182" l="1"/>
  <c r="S11" i="180"/>
  <c r="S11" i="182" l="1"/>
</calcChain>
</file>

<file path=xl/sharedStrings.xml><?xml version="1.0" encoding="utf-8"?>
<sst xmlns="http://schemas.openxmlformats.org/spreadsheetml/2006/main" count="274" uniqueCount="155">
  <si>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</si>
  <si>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</si>
  <si>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</si>
  <si>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</si>
  <si>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</si>
  <si>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</si>
  <si>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</si>
  <si>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</si>
  <si>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</si>
  <si>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</si>
  <si>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</si>
  <si>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</si>
  <si>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</si>
  <si>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</si>
  <si>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</si>
  <si>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</si>
  <si>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</si>
  <si>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</si>
  <si>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</si>
  <si>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</si>
  <si>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</si>
  <si>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</si>
  <si>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</si>
  <si>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</si>
  <si>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</si>
  <si>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</si>
  <si>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</si>
  <si>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</si>
  <si>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</si>
  <si>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</si>
  <si>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</si>
  <si>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</si>
  <si>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</si>
  <si>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</si>
  <si>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</si>
  <si>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</si>
  <si>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</si>
  <si>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</si>
  <si>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</si>
  <si>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</si>
  <si>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</si>
  <si>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</si>
  <si>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</si>
  <si>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</si>
  <si>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</si>
  <si>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</si>
  <si>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</si>
  <si>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</si>
  <si>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</si>
  <si>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</si>
  <si>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</si>
  <si>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</si>
  <si>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</si>
  <si>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</si>
  <si>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</si>
  <si>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</si>
  <si>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</si>
  <si>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</si>
  <si>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</si>
  <si>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</si>
  <si>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</si>
  <si>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</si>
  <si>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</si>
  <si>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</si>
  <si>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</si>
  <si>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</si>
  <si>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</si>
  <si>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</si>
  <si>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</si>
  <si>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</si>
  <si>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</si>
  <si>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</si>
  <si>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</si>
  <si>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</si>
  <si>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</si>
  <si>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</si>
  <si>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</si>
  <si>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</si>
  <si>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</si>
  <si>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</si>
  <si>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</si>
  <si>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</si>
  <si>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</si>
  <si>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</si>
  <si>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</si>
  <si>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</si>
  <si>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</si>
  <si>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</si>
  <si>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</si>
  <si>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</si>
  <si>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</si>
  <si>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</si>
  <si>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</si>
  <si>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</si>
  <si>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</si>
  <si>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</si>
  <si>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</si>
  <si>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</si>
  <si>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</si>
  <si>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</si>
  <si>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</si>
  <si>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</si>
  <si>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</si>
  <si>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</si>
  <si>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</si>
  <si>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</si>
  <si>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</si>
  <si>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</si>
  <si>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</si>
  <si>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</si>
  <si>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</si>
  <si>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</si>
  <si>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Average</t>
  </si>
  <si>
    <t>Comparables</t>
  </si>
  <si>
    <t xml:space="preserve">  </t>
  </si>
  <si>
    <t>Automotive</t>
  </si>
  <si>
    <t>Revenue Automotive</t>
  </si>
  <si>
    <t>Tesla Revenue Automotive (in mln $)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</si>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</sst>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?_);@_)"/>
  </numFmts>
  <fonts count="1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7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6" fontId="4" fillId="2" borderId="0" xfId="0" applyNumberFormat="1" applyFont="1" applyFill="1" applyBorder="1" applyAlignment="1">
      <alignment horizontal="right" vertical="top"/>
    </xf>
    <xf numFmtId="166" fontId="4" fillId="5" borderId="0" xfId="0" applyNumberFormat="1" applyFont="1" applyFill="1" applyBorder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66" fontId="4" fillId="5" borderId="0" xfId="0" applyNumberFormat="1" applyFont="1" applyFill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3" fillId="5" borderId="1" xfId="0" applyNumberFormat="1" applyFont="1" applyFill="1" applyBorder="1" applyAlignment="1">
      <alignment horizontal="right" vertical="top"/>
    </xf>
    <xf numFmtId="166" fontId="3" fillId="2" borderId="2" xfId="0" applyNumberFormat="1" applyFont="1" applyFill="1" applyBorder="1" applyAlignment="1">
      <alignment horizontal="right" vertical="top"/>
    </xf>
    <xf numFmtId="166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6" fontId="4" fillId="2" borderId="0" xfId="1" applyNumberFormat="1" applyFont="1" applyFill="1" applyAlignment="1">
      <alignment horizontal="right" vertical="top"/>
    </xf>
    <xf numFmtId="166" fontId="4" fillId="5" borderId="0" xfId="1" applyNumberFormat="1" applyFont="1" applyFill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5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5" borderId="2" xfId="1" applyNumberFormat="1" applyFont="1" applyFill="1" applyBorder="1" applyAlignment="1">
      <alignment horizontal="right" vertical="top"/>
    </xf>
    <xf numFmtId="166" fontId="3" fillId="2" borderId="0" xfId="1" applyNumberFormat="1" applyFont="1" applyFill="1" applyAlignment="1">
      <alignment horizontal="right" vertical="top"/>
    </xf>
    <xf numFmtId="166" fontId="3" fillId="5" borderId="0" xfId="1" applyNumberFormat="1" applyFont="1" applyFill="1" applyAlignment="1">
      <alignment horizontal="right" vertical="top"/>
    </xf>
    <xf numFmtId="166" fontId="4" fillId="2" borderId="0" xfId="1" applyNumberFormat="1" applyFont="1" applyFill="1">
      <alignment vertical="top"/>
    </xf>
    <xf numFmtId="166" fontId="4" fillId="2" borderId="0" xfId="0" applyNumberFormat="1" applyFont="1" applyFill="1">
      <alignment vertical="top"/>
    </xf>
    <xf numFmtId="166" fontId="4" fillId="5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6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6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6" fontId="9" fillId="2" borderId="0" xfId="0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16" fillId="2" borderId="0" xfId="0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110</v>
      </c>
      <c r="C9" s="58"/>
    </row>
    <row r="10" spans="2:3" ht="50.4" x14ac:dyDescent="0.25">
      <c r="B10" s="11" t="s">
        <v>111</v>
      </c>
      <c r="C10" s="5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139</v>
      </c>
    </row>
    <row r="2" spans="1:6" ht="15.6" x14ac:dyDescent="0.25">
      <c r="A2" s="1"/>
      <c r="B2" s="2"/>
    </row>
    <row r="3" spans="1:6" x14ac:dyDescent="0.25">
      <c r="B3" s="69" t="s">
        <v>113</v>
      </c>
    </row>
    <row r="5" spans="1:6" x14ac:dyDescent="0.25">
      <c r="F5" s="8" t="s">
        <v>114</v>
      </c>
    </row>
    <row r="6" spans="1:6" ht="12" x14ac:dyDescent="0.25">
      <c r="B6" s="18" t="s">
        <v>86</v>
      </c>
      <c r="C6" s="19" t="s">
        <v>112</v>
      </c>
      <c r="D6" s="19" t="s">
        <v>129</v>
      </c>
    </row>
    <row r="7" spans="1:6" x14ac:dyDescent="0.25">
      <c r="B7" s="8" t="s">
        <v>118</v>
      </c>
      <c r="C7" s="13">
        <v>9600340</v>
      </c>
      <c r="D7" s="13">
        <v>9600340</v>
      </c>
    </row>
    <row r="8" spans="1:6" x14ac:dyDescent="0.25">
      <c r="B8" s="8" t="s">
        <v>119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120</v>
      </c>
      <c r="C9" s="13">
        <v>4740000</v>
      </c>
      <c r="D9" s="13">
        <v>4740000</v>
      </c>
    </row>
    <row r="10" spans="1:6" x14ac:dyDescent="0.25">
      <c r="B10" s="8" t="s">
        <v>121</v>
      </c>
      <c r="C10" s="13">
        <v>2460000</v>
      </c>
      <c r="D10" s="13">
        <v>2460000</v>
      </c>
    </row>
    <row r="11" spans="1:6" x14ac:dyDescent="0.25">
      <c r="B11" s="8" t="s">
        <v>122</v>
      </c>
      <c r="C11" s="13">
        <v>10700000</v>
      </c>
      <c r="D11" s="13">
        <v>10700000</v>
      </c>
    </row>
    <row r="12" spans="1:6" x14ac:dyDescent="0.25">
      <c r="B12" s="62" t="s">
        <v>123</v>
      </c>
      <c r="C12" s="66" t="s">
        <v>65</v>
      </c>
      <c r="D12" s="66" t="s">
        <v>65</v>
      </c>
    </row>
    <row r="13" spans="1:6" x14ac:dyDescent="0.25">
      <c r="B13" s="62" t="s">
        <v>124</v>
      </c>
      <c r="C13" s="66" t="s">
        <v>65</v>
      </c>
      <c r="D13" s="66" t="s">
        <v>65</v>
      </c>
    </row>
    <row r="14" spans="1:6" x14ac:dyDescent="0.25">
      <c r="B14" s="62" t="s">
        <v>125</v>
      </c>
      <c r="C14" s="66" t="s">
        <v>65</v>
      </c>
      <c r="D14" s="66" t="s">
        <v>65</v>
      </c>
    </row>
    <row r="15" spans="1:6" x14ac:dyDescent="0.25">
      <c r="B15" s="62" t="s">
        <v>126</v>
      </c>
      <c r="C15" s="66" t="s">
        <v>65</v>
      </c>
      <c r="D15" s="66" t="s">
        <v>65</v>
      </c>
    </row>
    <row r="16" spans="1:6" x14ac:dyDescent="0.25">
      <c r="B16" s="62" t="s">
        <v>127</v>
      </c>
      <c r="C16" s="66" t="s">
        <v>65</v>
      </c>
      <c r="D16" s="66" t="s">
        <v>65</v>
      </c>
    </row>
    <row r="17" spans="2:4" x14ac:dyDescent="0.25">
      <c r="B17" s="62" t="s">
        <v>128</v>
      </c>
      <c r="C17" s="66" t="s">
        <v>65</v>
      </c>
      <c r="D17" s="66" t="s">
        <v>65</v>
      </c>
    </row>
    <row r="18" spans="2:4" ht="12" x14ac:dyDescent="0.25">
      <c r="B18" s="9" t="s">
        <v>112</v>
      </c>
      <c r="C18" s="68" t="s">
        <v>65</v>
      </c>
      <c r="D18" s="64">
        <f>AVERAGE(D7:D17)</f>
        <v>6821468</v>
      </c>
    </row>
    <row r="19" spans="2:4" x14ac:dyDescent="0.25">
      <c r="C19" s="67"/>
      <c r="D19" s="6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1.4" x14ac:dyDescent="0.25"/>
  <cols>
    <col min="1" max="1" width="2" style="8" customWidth="1"/>
    <col min="2" max="2" width="15.109375" style="8" customWidth="1"/>
    <col min="3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116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71" t="s">
        <v>117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20" ht="24" x14ac:dyDescent="0.25">
      <c r="B4" s="18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5" t="s">
        <v>98</v>
      </c>
      <c r="I4" s="55" t="s">
        <v>97</v>
      </c>
      <c r="J4" s="55" t="s">
        <v>99</v>
      </c>
      <c r="K4" s="55" t="s">
        <v>100</v>
      </c>
      <c r="L4" s="55" t="s">
        <v>101</v>
      </c>
      <c r="M4" s="55" t="s">
        <v>102</v>
      </c>
      <c r="N4" s="55" t="s">
        <v>103</v>
      </c>
      <c r="O4" s="55" t="s">
        <v>134</v>
      </c>
      <c r="P4" s="55" t="s">
        <v>135</v>
      </c>
      <c r="Q4" s="55" t="s">
        <v>136</v>
      </c>
      <c r="R4" s="55" t="s">
        <v>137</v>
      </c>
      <c r="S4" s="55" t="s">
        <v>138</v>
      </c>
      <c r="T4" s="19" t="s">
        <v>93</v>
      </c>
    </row>
    <row r="5" spans="1:20" ht="13.2" customHeight="1" x14ac:dyDescent="0.25">
      <c r="B5" s="8" t="s">
        <v>89</v>
      </c>
      <c r="C5" s="46"/>
      <c r="D5" s="46"/>
      <c r="E5" s="46"/>
      <c r="F5" s="63" t="s">
        <v>65</v>
      </c>
      <c r="G5" s="63" t="s">
        <v>65</v>
      </c>
      <c r="H5" s="47">
        <f>($T5*Deliveries!H5*H14)/1000000</f>
        <v>4368</v>
      </c>
      <c r="I5" s="47"/>
      <c r="J5" s="47">
        <f>($T5*Deliveries!J5*J14)/1000000</f>
        <v>10920</v>
      </c>
      <c r="K5" s="47">
        <f>($T5*Deliveries!K5*K14)/1000000</f>
        <v>17472</v>
      </c>
      <c r="L5" s="47">
        <f>($T5*Deliveries!L5*L14)/1000000</f>
        <v>19219.200000000004</v>
      </c>
      <c r="M5" s="47">
        <f>($T5*Deliveries!M5*M14)/1000000</f>
        <v>21141.120000000003</v>
      </c>
      <c r="N5" s="47">
        <f>($T5*Deliveries!N5*N14)/1000000</f>
        <v>22198.176000000003</v>
      </c>
      <c r="O5" s="47">
        <f>($T5*Deliveries!O5*O14)/1000000</f>
        <v>23308.084800000008</v>
      </c>
      <c r="P5" s="47">
        <f>($T5*Deliveries!P5*P14)/1000000</f>
        <v>23774.246496000003</v>
      </c>
      <c r="Q5" s="47">
        <f>($T5*Deliveries!Q5*Q14)/1000000</f>
        <v>24249.731425920007</v>
      </c>
      <c r="R5" s="47">
        <f>($T5*Deliveries!R5*R14)/1000000</f>
        <v>24734.726054438408</v>
      </c>
      <c r="S5" s="47">
        <f>($T5*Deliveries!S5*S14)/1000000</f>
        <v>25229.420575527176</v>
      </c>
      <c r="T5" s="45">
        <v>42000</v>
      </c>
    </row>
    <row r="6" spans="1:20" x14ac:dyDescent="0.25">
      <c r="B6" s="8" t="s">
        <v>95</v>
      </c>
      <c r="C6" s="46">
        <f>'P&amp;L Input'!C4/1000</f>
        <v>3007.0120000000002</v>
      </c>
      <c r="D6" s="46">
        <f>'P&amp;L Input'!D4/1000</f>
        <v>3740.973</v>
      </c>
      <c r="E6" s="46">
        <f>'P&amp;L Input'!E4/1000</f>
        <v>6350.7659999999996</v>
      </c>
      <c r="F6" s="63" t="s">
        <v>65</v>
      </c>
      <c r="G6" s="63" t="s">
        <v>65</v>
      </c>
      <c r="H6" s="47">
        <f>($T6*Deliveries!H6*H15)/1000000</f>
        <v>4891.25</v>
      </c>
      <c r="I6" s="47"/>
      <c r="J6" s="47">
        <f>($T6*Deliveries!J6*J15)/1000000</f>
        <v>8925</v>
      </c>
      <c r="K6" s="47">
        <f>($T6*Deliveries!K6*K15)/1000000</f>
        <v>9103.5</v>
      </c>
      <c r="L6" s="47">
        <f>($T6*Deliveries!L6*L15)/1000000</f>
        <v>9285.57</v>
      </c>
      <c r="M6" s="47">
        <f>($T6*Deliveries!M6*M15)/1000000</f>
        <v>9471.2813999999998</v>
      </c>
      <c r="N6" s="47">
        <f>($T6*Deliveries!N6*N15)/1000000</f>
        <v>9660.7070280000007</v>
      </c>
      <c r="O6" s="47">
        <f>($T6*Deliveries!O6*O15)/1000000</f>
        <v>9853.9211685600021</v>
      </c>
      <c r="P6" s="47">
        <f>($T6*Deliveries!P6*P15)/1000000</f>
        <v>10050.9995919312</v>
      </c>
      <c r="Q6" s="47">
        <f>($T6*Deliveries!Q6*Q15)/1000000</f>
        <v>10252.019583769825</v>
      </c>
      <c r="R6" s="47">
        <f>($T6*Deliveries!R6*R15)/1000000</f>
        <v>10457.059975445223</v>
      </c>
      <c r="S6" s="47">
        <f>($T6*Deliveries!S6*S15)/1000000</f>
        <v>10666.201174954127</v>
      </c>
      <c r="T6" s="45">
        <f>(84000+91000)/2</f>
        <v>87500</v>
      </c>
    </row>
    <row r="7" spans="1:20" x14ac:dyDescent="0.25">
      <c r="B7" s="8" t="s">
        <v>90</v>
      </c>
      <c r="C7" s="46">
        <f>($T7*Deliveries!C7)/1000000</f>
        <v>0</v>
      </c>
      <c r="D7" s="46">
        <f>($T7*Deliveries!D7)/1000000</f>
        <v>0</v>
      </c>
      <c r="E7" s="46">
        <f>($T7*Deliveries!E7)/1000000</f>
        <v>0</v>
      </c>
      <c r="F7" s="46">
        <f>($T7*Deliveries!F7)/1000000</f>
        <v>0</v>
      </c>
      <c r="G7" s="46">
        <f>($T7*Deliveries!G7)/1000000</f>
        <v>0</v>
      </c>
      <c r="H7" s="47">
        <f>($T7*Deliveries!H7*H16)/1000000</f>
        <v>0</v>
      </c>
      <c r="I7" s="47"/>
      <c r="J7" s="47">
        <f>($T7*Deliveries!J7*J16)/1000000</f>
        <v>88.2</v>
      </c>
      <c r="K7" s="47">
        <f>($T7*Deliveries!K7*K16)/1000000</f>
        <v>6531</v>
      </c>
      <c r="L7" s="47">
        <f>($T7*Deliveries!L7*L16)/1000000</f>
        <v>13000</v>
      </c>
      <c r="M7" s="47">
        <f>($T7*Deliveries!M7*M16)/1000000</f>
        <v>20800</v>
      </c>
      <c r="N7" s="47">
        <f>($T7*Deliveries!N7*N16)/1000000</f>
        <v>22880.000000000004</v>
      </c>
      <c r="O7" s="47">
        <f>($T7*Deliveries!O7*O16)/1000000</f>
        <v>25168.000000000007</v>
      </c>
      <c r="P7" s="47">
        <f>($T7*Deliveries!P7*P16)/1000000</f>
        <v>26426.400000000009</v>
      </c>
      <c r="Q7" s="47">
        <f>($T7*Deliveries!Q7*Q16)/1000000</f>
        <v>27747.720000000008</v>
      </c>
      <c r="R7" s="47">
        <f>($T7*Deliveries!R7*R16)/1000000</f>
        <v>28302.674400000007</v>
      </c>
      <c r="S7" s="47">
        <f>($T7*Deliveries!S7*S16)/1000000</f>
        <v>28868.727888000005</v>
      </c>
      <c r="T7" s="45">
        <v>50000</v>
      </c>
    </row>
    <row r="8" spans="1:20" x14ac:dyDescent="0.25">
      <c r="B8" s="8" t="s">
        <v>92</v>
      </c>
      <c r="C8" s="46">
        <f>($T8*Deliveries!C8)/1000000</f>
        <v>0</v>
      </c>
      <c r="D8" s="46">
        <f>($T8*Deliveries!D8)/1000000</f>
        <v>0</v>
      </c>
      <c r="E8" s="46">
        <f>($T8*Deliveries!E8)/1000000</f>
        <v>0</v>
      </c>
      <c r="F8" s="46">
        <f>($T8*Deliveries!F8)/1000000</f>
        <v>0</v>
      </c>
      <c r="G8" s="46">
        <f>($T8*Deliveries!G8)/1000000</f>
        <v>0</v>
      </c>
      <c r="H8" s="47">
        <f>($T8*Deliveries!H8*H17)/1000000</f>
        <v>0</v>
      </c>
      <c r="I8" s="47"/>
      <c r="J8" s="47">
        <f>($T8*Deliveries!J8*J17)/1000000</f>
        <v>0</v>
      </c>
      <c r="K8" s="47">
        <f>($T8*Deliveries!K8*K17)/1000000</f>
        <v>115</v>
      </c>
      <c r="L8" s="47">
        <f>($T8*Deliveries!L8*L17)/1000000</f>
        <v>230</v>
      </c>
      <c r="M8" s="47">
        <f>($T8*Deliveries!M8*M17)/1000000</f>
        <v>345</v>
      </c>
      <c r="N8" s="47">
        <f>($T8*Deliveries!N8*N17)/1000000</f>
        <v>379.50000000000006</v>
      </c>
      <c r="O8" s="47">
        <f>($T8*Deliveries!O8*O17)/1000000</f>
        <v>417.4500000000001</v>
      </c>
      <c r="P8" s="47">
        <f>($T8*Deliveries!P8*P17)/1000000</f>
        <v>438.3225000000001</v>
      </c>
      <c r="Q8" s="47">
        <f>($T8*Deliveries!Q8*Q17)/1000000</f>
        <v>460.23862500000013</v>
      </c>
      <c r="R8" s="47">
        <f>($T8*Deliveries!R8*R17)/1000000</f>
        <v>469.44339750000017</v>
      </c>
      <c r="S8" s="47">
        <f>($T8*Deliveries!S8*S17)/1000000</f>
        <v>478.83226545000019</v>
      </c>
      <c r="T8" s="45">
        <v>230000</v>
      </c>
    </row>
    <row r="9" spans="1:20" x14ac:dyDescent="0.25">
      <c r="B9" s="8" t="s">
        <v>91</v>
      </c>
      <c r="C9" s="46">
        <f>($T9*Deliveries!C9)/1000000</f>
        <v>0</v>
      </c>
      <c r="D9" s="46">
        <f>($T9*Deliveries!D9)/1000000</f>
        <v>0</v>
      </c>
      <c r="E9" s="46">
        <f>($T9*Deliveries!E9)/1000000</f>
        <v>0</v>
      </c>
      <c r="F9" s="46">
        <f>($T9*Deliveries!F9)/1000000</f>
        <v>0</v>
      </c>
      <c r="G9" s="46">
        <f>($T9*Deliveries!G9)/1000000</f>
        <v>0</v>
      </c>
      <c r="H9" s="47">
        <f>($T9*Deliveries!H9*H18)/1000000</f>
        <v>0</v>
      </c>
      <c r="I9" s="47"/>
      <c r="J9" s="47">
        <f>($T9*Deliveries!J9*J18)/1000000</f>
        <v>15.75</v>
      </c>
      <c r="K9" s="47">
        <f>($T9*Deliveries!K9*K18)/1000000</f>
        <v>1166.25</v>
      </c>
      <c r="L9" s="47">
        <f>($T9*Deliveries!L9*L18)/1000000</f>
        <v>2321.4285714285716</v>
      </c>
      <c r="M9" s="47">
        <f>($T9*Deliveries!M9*M18)/1000000</f>
        <v>3714.2857142857151</v>
      </c>
      <c r="N9" s="47">
        <f>($T9*Deliveries!N9*N18)/1000000</f>
        <v>4085.7142857142867</v>
      </c>
      <c r="O9" s="47">
        <f>($T9*Deliveries!O9*O18)/1000000</f>
        <v>4494.2857142857165</v>
      </c>
      <c r="P9" s="47">
        <f>($T9*Deliveries!P9*P18)/1000000</f>
        <v>4719.0000000000018</v>
      </c>
      <c r="Q9" s="47">
        <f>($T9*Deliveries!Q9*Q18)/1000000</f>
        <v>4954.9500000000025</v>
      </c>
      <c r="R9" s="47">
        <f>($T9*Deliveries!R9*R18)/1000000</f>
        <v>5054.0490000000027</v>
      </c>
      <c r="S9" s="47">
        <f>($T9*Deliveries!S9*S18)/1000000</f>
        <v>5155.1299800000024</v>
      </c>
      <c r="T9" s="45">
        <v>63000</v>
      </c>
    </row>
    <row r="10" spans="1:20" x14ac:dyDescent="0.25">
      <c r="B10" s="8" t="s">
        <v>88</v>
      </c>
      <c r="C10" s="46">
        <f>($T10*Deliveries!C10)/1000000</f>
        <v>0</v>
      </c>
      <c r="D10" s="46">
        <f>($T10*Deliveries!D10)/1000000</f>
        <v>0</v>
      </c>
      <c r="E10" s="46">
        <f>($T10*Deliveries!E10)/1000000</f>
        <v>0</v>
      </c>
      <c r="F10" s="46">
        <f>($T10*Deliveries!F10)/1000000</f>
        <v>0</v>
      </c>
      <c r="G10" s="46">
        <f>($T10*Deliveries!G10)/1000000</f>
        <v>0</v>
      </c>
      <c r="H10" s="47">
        <f>($T10*Deliveries!H10*H19)/1000000</f>
        <v>0</v>
      </c>
      <c r="I10" s="47"/>
      <c r="J10" s="47">
        <f>($T10*Deliveries!J10*J19)/1000000</f>
        <v>50</v>
      </c>
      <c r="K10" s="47">
        <f>($T10*Deliveries!K10*K19)/1000000</f>
        <v>3702.3809523809527</v>
      </c>
      <c r="L10" s="47">
        <f>($T10*Deliveries!L10*L19)/1000000</f>
        <v>7369.6145124716568</v>
      </c>
      <c r="M10" s="47">
        <f>($T10*Deliveries!M10*M19)/1000000</f>
        <v>11791.38321995465</v>
      </c>
      <c r="N10" s="47">
        <f>($T10*Deliveries!N10*N19)/1000000</f>
        <v>12970.521541950116</v>
      </c>
      <c r="O10" s="47">
        <f>($T10*Deliveries!O10*O19)/1000000</f>
        <v>14267.573696145129</v>
      </c>
      <c r="P10" s="47">
        <f>($T10*Deliveries!P10*P19)/1000000</f>
        <v>14980.952380952387</v>
      </c>
      <c r="Q10" s="47">
        <f>($T10*Deliveries!Q10*Q19)/1000000</f>
        <v>15730.000000000009</v>
      </c>
      <c r="R10" s="47">
        <f>($T10*Deliveries!R10*R19)/1000000</f>
        <v>16044.600000000009</v>
      </c>
      <c r="S10" s="47">
        <f>($T10*Deliveries!S10*S19)/1000000</f>
        <v>16365.492000000009</v>
      </c>
      <c r="T10" s="45">
        <v>200000</v>
      </c>
    </row>
    <row r="11" spans="1:20" ht="12.6" thickBot="1" x14ac:dyDescent="0.3">
      <c r="B11" s="60" t="s">
        <v>68</v>
      </c>
      <c r="C11" s="61">
        <f>SUM(C5:C10)</f>
        <v>3007.0120000000002</v>
      </c>
      <c r="D11" s="61">
        <f t="shared" ref="D11:N11" si="0">SUM(D5:D10)</f>
        <v>3740.973</v>
      </c>
      <c r="E11" s="61">
        <f t="shared" si="0"/>
        <v>6350.7659999999996</v>
      </c>
      <c r="F11" s="61">
        <f>'P&amp;L Input'!F4/1000</f>
        <v>9641.2999999999993</v>
      </c>
      <c r="G11" s="61">
        <f>'P&amp;L Input'!G4/1000</f>
        <v>6092.9979999999996</v>
      </c>
      <c r="H11" s="61">
        <f t="shared" si="0"/>
        <v>9259.25</v>
      </c>
      <c r="I11" s="61"/>
      <c r="J11" s="61">
        <f t="shared" si="0"/>
        <v>19998.95</v>
      </c>
      <c r="K11" s="61">
        <f t="shared" si="0"/>
        <v>38090.130952380954</v>
      </c>
      <c r="L11" s="61">
        <f t="shared" si="0"/>
        <v>51425.813083900233</v>
      </c>
      <c r="M11" s="61">
        <f t="shared" si="0"/>
        <v>67263.070334240372</v>
      </c>
      <c r="N11" s="61">
        <f t="shared" si="0"/>
        <v>72174.618855664419</v>
      </c>
      <c r="O11" s="61">
        <f t="shared" ref="O11:S11" si="1">SUM(O5:O10)</f>
        <v>77509.315378990868</v>
      </c>
      <c r="P11" s="61">
        <f t="shared" si="1"/>
        <v>80389.920968883598</v>
      </c>
      <c r="Q11" s="61">
        <f t="shared" si="1"/>
        <v>83394.659634689859</v>
      </c>
      <c r="R11" s="61">
        <f t="shared" si="1"/>
        <v>85062.552827383639</v>
      </c>
      <c r="S11" s="61">
        <f t="shared" si="1"/>
        <v>86763.803883931323</v>
      </c>
      <c r="T11" s="53"/>
    </row>
    <row r="12" spans="1:20" ht="3" customHeight="1" x14ac:dyDescent="0.25"/>
    <row r="13" spans="1:20" x14ac:dyDescent="0.25">
      <c r="B13" s="48" t="s">
        <v>73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17"/>
    </row>
    <row r="14" spans="1:20" x14ac:dyDescent="0.25">
      <c r="B14" s="49" t="s">
        <v>89</v>
      </c>
      <c r="C14" s="52"/>
      <c r="D14" s="52"/>
      <c r="E14" s="52"/>
      <c r="F14" s="52"/>
      <c r="G14" s="49"/>
      <c r="H14" s="50">
        <f>CHOOSE(Drivers!$C$3,'Revenue automotive'!H22,'Revenue automotive'!H30,'Revenue automotive'!H38)</f>
        <v>1</v>
      </c>
      <c r="I14" s="50">
        <f>CHOOSE(Drivers!$C$3,'Revenue automotive'!I22,'Revenue automotive'!I30,'Revenue automotive'!I38)</f>
        <v>1</v>
      </c>
      <c r="J14" s="50">
        <f>CHOOSE(Drivers!$C$3,'Revenue automotive'!J22,'Revenue automotive'!J30,'Revenue automotive'!J38)</f>
        <v>1</v>
      </c>
      <c r="K14" s="50">
        <f>CHOOSE(Drivers!$C$3,'Revenue automotive'!K22,'Revenue automotive'!K30,'Revenue automotive'!K38)</f>
        <v>1</v>
      </c>
      <c r="L14" s="50">
        <f>CHOOSE(Drivers!$C$3,'Revenue automotive'!L22,'Revenue automotive'!L30,'Revenue automotive'!L38)</f>
        <v>1</v>
      </c>
      <c r="M14" s="50">
        <f>CHOOSE(Drivers!$C$3,'Revenue automotive'!M22,'Revenue automotive'!M30,'Revenue automotive'!M38)</f>
        <v>1</v>
      </c>
      <c r="N14" s="50">
        <f>CHOOSE(Drivers!$C$3,'Revenue automotive'!N22,'Revenue automotive'!N30,'Revenue automotive'!N38)</f>
        <v>1</v>
      </c>
      <c r="O14" s="50">
        <f>CHOOSE(Drivers!$C$3,'Revenue automotive'!O22,'Revenue automotive'!O30,'Revenue automotive'!O38)</f>
        <v>1</v>
      </c>
      <c r="P14" s="50">
        <f>CHOOSE(Drivers!$C$3,'Revenue automotive'!P22,'Revenue automotive'!P30,'Revenue automotive'!P38)</f>
        <v>1</v>
      </c>
      <c r="Q14" s="50">
        <f>CHOOSE(Drivers!$C$3,'Revenue automotive'!Q22,'Revenue automotive'!Q30,'Revenue automotive'!Q38)</f>
        <v>1</v>
      </c>
      <c r="R14" s="50">
        <f>CHOOSE(Drivers!$C$3,'Revenue automotive'!R22,'Revenue automotive'!R30,'Revenue automotive'!R38)</f>
        <v>1</v>
      </c>
      <c r="S14" s="50">
        <f>CHOOSE(Drivers!$C$3,'Revenue automotive'!S22,'Revenue automotive'!S30,'Revenue automotive'!S38)</f>
        <v>1</v>
      </c>
      <c r="T14" s="17"/>
    </row>
    <row r="15" spans="1:20" x14ac:dyDescent="0.25">
      <c r="B15" s="49" t="s">
        <v>95</v>
      </c>
      <c r="C15" s="52"/>
      <c r="D15" s="36"/>
      <c r="E15" s="36"/>
      <c r="F15" s="36"/>
      <c r="G15" s="49"/>
      <c r="H15" s="50">
        <f>CHOOSE(Drivers!$C$3,'Revenue automotive'!H23,'Revenue automotive'!H31,'Revenue automotive'!H39)</f>
        <v>1</v>
      </c>
      <c r="I15" s="50">
        <f>CHOOSE(Drivers!$C$3,'Revenue automotive'!I23,'Revenue automotive'!I31,'Revenue automotive'!I39)</f>
        <v>1</v>
      </c>
      <c r="J15" s="50">
        <f>CHOOSE(Drivers!$C$3,'Revenue automotive'!J23,'Revenue automotive'!J31,'Revenue automotive'!J39)</f>
        <v>1</v>
      </c>
      <c r="K15" s="50">
        <f>CHOOSE(Drivers!$C$3,'Revenue automotive'!K23,'Revenue automotive'!K31,'Revenue automotive'!K39)</f>
        <v>1</v>
      </c>
      <c r="L15" s="50">
        <f>CHOOSE(Drivers!$C$3,'Revenue automotive'!L23,'Revenue automotive'!L31,'Revenue automotive'!L39)</f>
        <v>1</v>
      </c>
      <c r="M15" s="50">
        <f>CHOOSE(Drivers!$C$3,'Revenue automotive'!M23,'Revenue automotive'!M31,'Revenue automotive'!M39)</f>
        <v>1</v>
      </c>
      <c r="N15" s="50">
        <f>CHOOSE(Drivers!$C$3,'Revenue automotive'!N23,'Revenue automotive'!N31,'Revenue automotive'!N39)</f>
        <v>1</v>
      </c>
      <c r="O15" s="50">
        <f>CHOOSE(Drivers!$C$3,'Revenue automotive'!O23,'Revenue automotive'!O31,'Revenue automotive'!O39)</f>
        <v>1</v>
      </c>
      <c r="P15" s="50">
        <f>CHOOSE(Drivers!$C$3,'Revenue automotive'!P23,'Revenue automotive'!P31,'Revenue automotive'!P39)</f>
        <v>1</v>
      </c>
      <c r="Q15" s="50">
        <f>CHOOSE(Drivers!$C$3,'Revenue automotive'!Q23,'Revenue automotive'!Q31,'Revenue automotive'!Q39)</f>
        <v>1</v>
      </c>
      <c r="R15" s="50">
        <f>CHOOSE(Drivers!$C$3,'Revenue automotive'!R23,'Revenue automotive'!R31,'Revenue automotive'!R39)</f>
        <v>1</v>
      </c>
      <c r="S15" s="50">
        <f>CHOOSE(Drivers!$C$3,'Revenue automotive'!S23,'Revenue automotive'!S31,'Revenue automotive'!S39)</f>
        <v>1</v>
      </c>
      <c r="T15" s="17"/>
    </row>
    <row r="16" spans="1:20" x14ac:dyDescent="0.25">
      <c r="B16" s="49" t="s">
        <v>90</v>
      </c>
      <c r="C16" s="52"/>
      <c r="D16" s="52"/>
      <c r="E16" s="52"/>
      <c r="F16" s="52"/>
      <c r="G16" s="49"/>
      <c r="H16" s="50">
        <f>CHOOSE(Drivers!$C$3,'Revenue automotive'!H24,'Revenue automotive'!H32,'Revenue automotive'!H40)</f>
        <v>1</v>
      </c>
      <c r="I16" s="50">
        <f>CHOOSE(Drivers!$C$3,'Revenue automotive'!I24,'Revenue automotive'!I32,'Revenue automotive'!I40)</f>
        <v>1</v>
      </c>
      <c r="J16" s="50">
        <f>CHOOSE(Drivers!$C$3,'Revenue automotive'!J24,'Revenue automotive'!J32,'Revenue automotive'!J40)</f>
        <v>1</v>
      </c>
      <c r="K16" s="50">
        <f>CHOOSE(Drivers!$C$3,'Revenue automotive'!K24,'Revenue automotive'!K32,'Revenue automotive'!K40)</f>
        <v>1</v>
      </c>
      <c r="L16" s="50">
        <f>CHOOSE(Drivers!$C$3,'Revenue automotive'!L24,'Revenue automotive'!L32,'Revenue automotive'!L40)</f>
        <v>1</v>
      </c>
      <c r="M16" s="50">
        <f>CHOOSE(Drivers!$C$3,'Revenue automotive'!M24,'Revenue automotive'!M32,'Revenue automotive'!M40)</f>
        <v>1</v>
      </c>
      <c r="N16" s="50">
        <f>CHOOSE(Drivers!$C$3,'Revenue automotive'!N24,'Revenue automotive'!N32,'Revenue automotive'!N40)</f>
        <v>1</v>
      </c>
      <c r="O16" s="50">
        <f>CHOOSE(Drivers!$C$3,'Revenue automotive'!O24,'Revenue automotive'!O32,'Revenue automotive'!O40)</f>
        <v>1</v>
      </c>
      <c r="P16" s="50">
        <f>CHOOSE(Drivers!$C$3,'Revenue automotive'!P24,'Revenue automotive'!P32,'Revenue automotive'!P40)</f>
        <v>1</v>
      </c>
      <c r="Q16" s="50">
        <f>CHOOSE(Drivers!$C$3,'Revenue automotive'!Q24,'Revenue automotive'!Q32,'Revenue automotive'!Q40)</f>
        <v>1</v>
      </c>
      <c r="R16" s="50">
        <f>CHOOSE(Drivers!$C$3,'Revenue automotive'!R24,'Revenue automotive'!R32,'Revenue automotive'!R40)</f>
        <v>1</v>
      </c>
      <c r="S16" s="50">
        <f>CHOOSE(Drivers!$C$3,'Revenue automotive'!S24,'Revenue automotive'!S32,'Revenue automotive'!S40)</f>
        <v>1</v>
      </c>
      <c r="T16" s="17"/>
    </row>
    <row r="17" spans="2:20" x14ac:dyDescent="0.25">
      <c r="B17" s="49" t="s">
        <v>92</v>
      </c>
      <c r="C17" s="52"/>
      <c r="D17" s="52"/>
      <c r="E17" s="52"/>
      <c r="F17" s="52"/>
      <c r="G17" s="49"/>
      <c r="H17" s="50">
        <f>CHOOSE(Drivers!$C$3,'Revenue automotive'!H25,'Revenue automotive'!H33,'Revenue automotive'!H41)</f>
        <v>1</v>
      </c>
      <c r="I17" s="50">
        <f>CHOOSE(Drivers!$C$3,'Revenue automotive'!I25,'Revenue automotive'!I33,'Revenue automotive'!I41)</f>
        <v>1</v>
      </c>
      <c r="J17" s="50">
        <f>CHOOSE(Drivers!$C$3,'Revenue automotive'!J25,'Revenue automotive'!J33,'Revenue automotive'!J41)</f>
        <v>1</v>
      </c>
      <c r="K17" s="50">
        <f>CHOOSE(Drivers!$C$3,'Revenue automotive'!K25,'Revenue automotive'!K33,'Revenue automotive'!K41)</f>
        <v>1</v>
      </c>
      <c r="L17" s="50">
        <f>CHOOSE(Drivers!$C$3,'Revenue automotive'!L25,'Revenue automotive'!L33,'Revenue automotive'!L41)</f>
        <v>1</v>
      </c>
      <c r="M17" s="50">
        <f>CHOOSE(Drivers!$C$3,'Revenue automotive'!M25,'Revenue automotive'!M33,'Revenue automotive'!M41)</f>
        <v>1</v>
      </c>
      <c r="N17" s="50">
        <f>CHOOSE(Drivers!$C$3,'Revenue automotive'!N25,'Revenue automotive'!N33,'Revenue automotive'!N41)</f>
        <v>1</v>
      </c>
      <c r="O17" s="50">
        <f>CHOOSE(Drivers!$C$3,'Revenue automotive'!O25,'Revenue automotive'!O33,'Revenue automotive'!O41)</f>
        <v>1</v>
      </c>
      <c r="P17" s="50">
        <f>CHOOSE(Drivers!$C$3,'Revenue automotive'!P25,'Revenue automotive'!P33,'Revenue automotive'!P41)</f>
        <v>1</v>
      </c>
      <c r="Q17" s="50">
        <f>CHOOSE(Drivers!$C$3,'Revenue automotive'!Q25,'Revenue automotive'!Q33,'Revenue automotive'!Q41)</f>
        <v>1</v>
      </c>
      <c r="R17" s="50">
        <f>CHOOSE(Drivers!$C$3,'Revenue automotive'!R25,'Revenue automotive'!R33,'Revenue automotive'!R41)</f>
        <v>1</v>
      </c>
      <c r="S17" s="50">
        <f>CHOOSE(Drivers!$C$3,'Revenue automotive'!S25,'Revenue automotive'!S33,'Revenue automotive'!S41)</f>
        <v>1</v>
      </c>
      <c r="T17" s="65"/>
    </row>
    <row r="18" spans="2:20" x14ac:dyDescent="0.25">
      <c r="B18" s="49" t="s">
        <v>91</v>
      </c>
      <c r="C18" s="52"/>
      <c r="D18" s="52"/>
      <c r="E18" s="52"/>
      <c r="F18" s="52"/>
      <c r="G18" s="49"/>
      <c r="H18" s="50">
        <f>CHOOSE(Drivers!$C$3,'Revenue automotive'!H26,'Revenue automotive'!H34,'Revenue automotive'!H42)</f>
        <v>1</v>
      </c>
      <c r="I18" s="50">
        <f>CHOOSE(Drivers!$C$3,'Revenue automotive'!I26,'Revenue automotive'!I34,'Revenue automotive'!I42)</f>
        <v>1</v>
      </c>
      <c r="J18" s="50">
        <f>CHOOSE(Drivers!$C$3,'Revenue automotive'!J26,'Revenue automotive'!J34,'Revenue automotive'!J42)</f>
        <v>1</v>
      </c>
      <c r="K18" s="50">
        <f>CHOOSE(Drivers!$C$3,'Revenue automotive'!K26,'Revenue automotive'!K34,'Revenue automotive'!K42)</f>
        <v>1</v>
      </c>
      <c r="L18" s="50">
        <f>CHOOSE(Drivers!$C$3,'Revenue automotive'!L26,'Revenue automotive'!L34,'Revenue automotive'!L42)</f>
        <v>1</v>
      </c>
      <c r="M18" s="50">
        <f>CHOOSE(Drivers!$C$3,'Revenue automotive'!M26,'Revenue automotive'!M34,'Revenue automotive'!M42)</f>
        <v>1</v>
      </c>
      <c r="N18" s="50">
        <f>CHOOSE(Drivers!$C$3,'Revenue automotive'!N26,'Revenue automotive'!N34,'Revenue automotive'!N42)</f>
        <v>1</v>
      </c>
      <c r="O18" s="50">
        <f>CHOOSE(Drivers!$C$3,'Revenue automotive'!O26,'Revenue automotive'!O34,'Revenue automotive'!O42)</f>
        <v>1</v>
      </c>
      <c r="P18" s="50">
        <f>CHOOSE(Drivers!$C$3,'Revenue automotive'!P26,'Revenue automotive'!P34,'Revenue automotive'!P42)</f>
        <v>1</v>
      </c>
      <c r="Q18" s="50">
        <f>CHOOSE(Drivers!$C$3,'Revenue automotive'!Q26,'Revenue automotive'!Q34,'Revenue automotive'!Q42)</f>
        <v>1</v>
      </c>
      <c r="R18" s="50">
        <f>CHOOSE(Drivers!$C$3,'Revenue automotive'!R26,'Revenue automotive'!R34,'Revenue automotive'!R42)</f>
        <v>1</v>
      </c>
      <c r="S18" s="50">
        <f>CHOOSE(Drivers!$C$3,'Revenue automotive'!S26,'Revenue automotive'!S34,'Revenue automotive'!S42)</f>
        <v>1</v>
      </c>
      <c r="T18" s="17"/>
    </row>
    <row r="19" spans="2:20" x14ac:dyDescent="0.25">
      <c r="B19" s="49" t="s">
        <v>88</v>
      </c>
      <c r="C19" s="52"/>
      <c r="D19" s="52"/>
      <c r="E19" s="52"/>
      <c r="F19" s="52"/>
      <c r="G19" s="49"/>
      <c r="H19" s="50">
        <f>CHOOSE(Drivers!$C$3,'Revenue automotive'!H27,'Revenue automotive'!H35,'Revenue automotive'!H43)</f>
        <v>1</v>
      </c>
      <c r="I19" s="50">
        <f>CHOOSE(Drivers!$C$3,'Revenue automotive'!I27,'Revenue automotive'!I35,'Revenue automotive'!I43)</f>
        <v>1</v>
      </c>
      <c r="J19" s="50">
        <f>CHOOSE(Drivers!$C$3,'Revenue automotive'!J27,'Revenue automotive'!J35,'Revenue automotive'!J43)</f>
        <v>1</v>
      </c>
      <c r="K19" s="50">
        <f>CHOOSE(Drivers!$C$3,'Revenue automotive'!K27,'Revenue automotive'!K35,'Revenue automotive'!K43)</f>
        <v>1</v>
      </c>
      <c r="L19" s="50">
        <f>CHOOSE(Drivers!$C$3,'Revenue automotive'!L27,'Revenue automotive'!L35,'Revenue automotive'!L43)</f>
        <v>1</v>
      </c>
      <c r="M19" s="50">
        <f>CHOOSE(Drivers!$C$3,'Revenue automotive'!M27,'Revenue automotive'!M35,'Revenue automotive'!M43)</f>
        <v>1</v>
      </c>
      <c r="N19" s="50">
        <f>CHOOSE(Drivers!$C$3,'Revenue automotive'!N27,'Revenue automotive'!N35,'Revenue automotive'!N43)</f>
        <v>1</v>
      </c>
      <c r="O19" s="50">
        <f>CHOOSE(Drivers!$C$3,'Revenue automotive'!O27,'Revenue automotive'!O35,'Revenue automotive'!O43)</f>
        <v>1</v>
      </c>
      <c r="P19" s="50">
        <f>CHOOSE(Drivers!$C$3,'Revenue automotive'!P27,'Revenue automotive'!P35,'Revenue automotive'!P43)</f>
        <v>1</v>
      </c>
      <c r="Q19" s="50">
        <f>CHOOSE(Drivers!$C$3,'Revenue automotive'!Q27,'Revenue automotive'!Q35,'Revenue automotive'!Q43)</f>
        <v>1</v>
      </c>
      <c r="R19" s="50">
        <f>CHOOSE(Drivers!$C$3,'Revenue automotive'!R27,'Revenue automotive'!R35,'Revenue automotive'!R43)</f>
        <v>1</v>
      </c>
      <c r="S19" s="50">
        <f>CHOOSE(Drivers!$C$3,'Revenue automotive'!S27,'Revenue automotive'!S35,'Revenue automotive'!S43)</f>
        <v>1</v>
      </c>
      <c r="T19" s="17"/>
    </row>
    <row r="20" spans="2:20" x14ac:dyDescent="0.25">
      <c r="B20" s="49"/>
      <c r="C20" s="52"/>
      <c r="D20" s="52"/>
      <c r="E20" s="52"/>
      <c r="F20" s="52"/>
      <c r="G20" s="49"/>
      <c r="H20" s="49"/>
      <c r="I20" s="52"/>
      <c r="J20" s="52"/>
      <c r="K20" s="50"/>
      <c r="L20" s="50"/>
      <c r="M20" s="50"/>
      <c r="N20" s="50"/>
      <c r="O20" s="50"/>
      <c r="P20" s="50"/>
      <c r="Q20" s="50"/>
      <c r="R20" s="50"/>
      <c r="S20" s="50"/>
      <c r="T20" s="17"/>
    </row>
    <row r="21" spans="2:20" x14ac:dyDescent="0.25">
      <c r="B21" s="48" t="s">
        <v>69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17"/>
    </row>
    <row r="22" spans="2:20" x14ac:dyDescent="0.25">
      <c r="B22" s="49" t="s">
        <v>89</v>
      </c>
      <c r="C22" s="52"/>
      <c r="D22" s="52"/>
      <c r="E22" s="52"/>
      <c r="F22" s="52"/>
      <c r="G22" s="49"/>
      <c r="H22" s="50">
        <v>1.02</v>
      </c>
      <c r="I22" s="50">
        <v>1.02</v>
      </c>
      <c r="J22" s="50">
        <v>1.02</v>
      </c>
      <c r="K22" s="50">
        <v>1.02</v>
      </c>
      <c r="L22" s="50">
        <v>1.02</v>
      </c>
      <c r="M22" s="50">
        <v>1.02</v>
      </c>
      <c r="N22" s="50">
        <v>1.02</v>
      </c>
      <c r="O22" s="50">
        <v>1.02</v>
      </c>
      <c r="P22" s="50">
        <v>1.02</v>
      </c>
      <c r="Q22" s="50">
        <v>1.02</v>
      </c>
      <c r="R22" s="50">
        <v>1.02</v>
      </c>
      <c r="S22" s="50">
        <v>1.02</v>
      </c>
      <c r="T22" s="17"/>
    </row>
    <row r="23" spans="2:20" x14ac:dyDescent="0.25">
      <c r="B23" s="49" t="s">
        <v>95</v>
      </c>
      <c r="C23" s="52"/>
      <c r="D23" s="36"/>
      <c r="E23" s="36"/>
      <c r="F23" s="36"/>
      <c r="G23" s="49"/>
      <c r="H23" s="50">
        <v>1.02</v>
      </c>
      <c r="I23" s="50">
        <v>1.02</v>
      </c>
      <c r="J23" s="50">
        <v>1.02</v>
      </c>
      <c r="K23" s="50">
        <v>1.02</v>
      </c>
      <c r="L23" s="50">
        <v>1.02</v>
      </c>
      <c r="M23" s="50">
        <v>1.02</v>
      </c>
      <c r="N23" s="50">
        <v>1.02</v>
      </c>
      <c r="O23" s="50">
        <v>1.02</v>
      </c>
      <c r="P23" s="50">
        <v>1.02</v>
      </c>
      <c r="Q23" s="50">
        <v>1.02</v>
      </c>
      <c r="R23" s="50">
        <v>1.02</v>
      </c>
      <c r="S23" s="50">
        <v>1.02</v>
      </c>
      <c r="T23" s="17"/>
    </row>
    <row r="24" spans="2:20" x14ac:dyDescent="0.25">
      <c r="B24" s="49" t="s">
        <v>90</v>
      </c>
      <c r="C24" s="52"/>
      <c r="D24" s="52"/>
      <c r="E24" s="52"/>
      <c r="F24" s="52"/>
      <c r="G24" s="49"/>
      <c r="H24" s="50">
        <v>1.02</v>
      </c>
      <c r="I24" s="50">
        <v>1.02</v>
      </c>
      <c r="J24" s="50">
        <v>1.02</v>
      </c>
      <c r="K24" s="50">
        <v>1.02</v>
      </c>
      <c r="L24" s="50">
        <v>1.02</v>
      </c>
      <c r="M24" s="50">
        <v>1.02</v>
      </c>
      <c r="N24" s="50">
        <v>1.02</v>
      </c>
      <c r="O24" s="50">
        <v>1.02</v>
      </c>
      <c r="P24" s="50">
        <v>1.02</v>
      </c>
      <c r="Q24" s="50">
        <v>1.02</v>
      </c>
      <c r="R24" s="50">
        <v>1.02</v>
      </c>
      <c r="S24" s="50">
        <v>1.02</v>
      </c>
      <c r="T24" s="17"/>
    </row>
    <row r="25" spans="2:20" x14ac:dyDescent="0.25">
      <c r="B25" s="49" t="s">
        <v>92</v>
      </c>
      <c r="C25" s="52"/>
      <c r="D25" s="52"/>
      <c r="E25" s="52"/>
      <c r="F25" s="52"/>
      <c r="G25" s="49"/>
      <c r="H25" s="50">
        <v>1.02</v>
      </c>
      <c r="I25" s="50">
        <v>1.02</v>
      </c>
      <c r="J25" s="50">
        <v>1.02</v>
      </c>
      <c r="K25" s="50">
        <v>1.02</v>
      </c>
      <c r="L25" s="50">
        <v>1.02</v>
      </c>
      <c r="M25" s="50">
        <v>1.02</v>
      </c>
      <c r="N25" s="50">
        <v>1.02</v>
      </c>
      <c r="O25" s="50">
        <v>1.02</v>
      </c>
      <c r="P25" s="50">
        <v>1.02</v>
      </c>
      <c r="Q25" s="50">
        <v>1.02</v>
      </c>
      <c r="R25" s="50">
        <v>1.02</v>
      </c>
      <c r="S25" s="50">
        <v>1.02</v>
      </c>
      <c r="T25" s="17"/>
    </row>
    <row r="26" spans="2:20" x14ac:dyDescent="0.25">
      <c r="B26" s="49" t="s">
        <v>91</v>
      </c>
      <c r="C26" s="52"/>
      <c r="D26" s="52"/>
      <c r="E26" s="52"/>
      <c r="F26" s="52"/>
      <c r="G26" s="49"/>
      <c r="H26" s="50">
        <v>1.02</v>
      </c>
      <c r="I26" s="50">
        <v>1.02</v>
      </c>
      <c r="J26" s="50">
        <v>1.02</v>
      </c>
      <c r="K26" s="50">
        <v>1.02</v>
      </c>
      <c r="L26" s="50">
        <v>1.02</v>
      </c>
      <c r="M26" s="50">
        <v>1.02</v>
      </c>
      <c r="N26" s="50">
        <v>1.02</v>
      </c>
      <c r="O26" s="50">
        <v>1.02</v>
      </c>
      <c r="P26" s="50">
        <v>1.02</v>
      </c>
      <c r="Q26" s="50">
        <v>1.02</v>
      </c>
      <c r="R26" s="50">
        <v>1.02</v>
      </c>
      <c r="S26" s="50">
        <v>1.02</v>
      </c>
      <c r="T26" s="17"/>
    </row>
    <row r="27" spans="2:20" x14ac:dyDescent="0.25">
      <c r="B27" s="49" t="s">
        <v>88</v>
      </c>
      <c r="C27" s="52"/>
      <c r="D27" s="52"/>
      <c r="E27" s="52"/>
      <c r="F27" s="52"/>
      <c r="G27" s="49"/>
      <c r="H27" s="50">
        <v>1.02</v>
      </c>
      <c r="I27" s="50">
        <v>1.02</v>
      </c>
      <c r="J27" s="50">
        <v>1.02</v>
      </c>
      <c r="K27" s="50">
        <v>1.02</v>
      </c>
      <c r="L27" s="50">
        <v>1.02</v>
      </c>
      <c r="M27" s="50">
        <v>1.02</v>
      </c>
      <c r="N27" s="50">
        <v>1.02</v>
      </c>
      <c r="O27" s="50">
        <v>1.02</v>
      </c>
      <c r="P27" s="50">
        <v>1.02</v>
      </c>
      <c r="Q27" s="50">
        <v>1.02</v>
      </c>
      <c r="R27" s="50">
        <v>1.02</v>
      </c>
      <c r="S27" s="50">
        <v>1.02</v>
      </c>
      <c r="T27" s="17"/>
    </row>
    <row r="28" spans="2:20" x14ac:dyDescent="0.25">
      <c r="B28" s="49"/>
      <c r="C28" s="52"/>
      <c r="D28" s="52"/>
      <c r="E28" s="52"/>
      <c r="F28" s="52"/>
      <c r="G28" s="49"/>
      <c r="H28" s="49"/>
      <c r="I28" s="52"/>
      <c r="J28" s="52"/>
      <c r="K28" s="50"/>
      <c r="L28" s="50"/>
      <c r="M28" s="50"/>
      <c r="N28" s="50"/>
      <c r="O28" s="50"/>
      <c r="P28" s="50"/>
      <c r="Q28" s="50"/>
      <c r="R28" s="50"/>
      <c r="S28" s="50"/>
      <c r="T28" s="17"/>
    </row>
    <row r="29" spans="2:20" x14ac:dyDescent="0.25">
      <c r="B29" s="48" t="s">
        <v>70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17"/>
    </row>
    <row r="30" spans="2:20" x14ac:dyDescent="0.25">
      <c r="B30" s="49" t="s">
        <v>89</v>
      </c>
      <c r="C30" s="52"/>
      <c r="D30" s="52"/>
      <c r="E30" s="52"/>
      <c r="F30" s="52"/>
      <c r="G30" s="49"/>
      <c r="H30" s="50">
        <v>1</v>
      </c>
      <c r="I30" s="50">
        <v>1</v>
      </c>
      <c r="J30" s="50">
        <v>1</v>
      </c>
      <c r="K30" s="50">
        <v>1</v>
      </c>
      <c r="L30" s="50">
        <v>1</v>
      </c>
      <c r="M30" s="50">
        <v>1</v>
      </c>
      <c r="N30" s="50">
        <v>1</v>
      </c>
      <c r="O30" s="50">
        <v>1</v>
      </c>
      <c r="P30" s="50">
        <v>1</v>
      </c>
      <c r="Q30" s="50">
        <v>1</v>
      </c>
      <c r="R30" s="50">
        <v>1</v>
      </c>
      <c r="S30" s="50">
        <v>1</v>
      </c>
      <c r="T30" s="17"/>
    </row>
    <row r="31" spans="2:20" x14ac:dyDescent="0.25">
      <c r="B31" s="49" t="s">
        <v>95</v>
      </c>
      <c r="C31" s="52"/>
      <c r="D31" s="36"/>
      <c r="E31" s="36"/>
      <c r="F31" s="36"/>
      <c r="G31" s="49"/>
      <c r="H31" s="50">
        <v>1</v>
      </c>
      <c r="I31" s="50">
        <v>1</v>
      </c>
      <c r="J31" s="50">
        <v>1</v>
      </c>
      <c r="K31" s="50">
        <v>1</v>
      </c>
      <c r="L31" s="50">
        <v>1</v>
      </c>
      <c r="M31" s="50">
        <v>1</v>
      </c>
      <c r="N31" s="50">
        <v>1</v>
      </c>
      <c r="O31" s="50">
        <v>1</v>
      </c>
      <c r="P31" s="50">
        <v>1</v>
      </c>
      <c r="Q31" s="50">
        <v>1</v>
      </c>
      <c r="R31" s="50">
        <v>1</v>
      </c>
      <c r="S31" s="50">
        <v>1</v>
      </c>
      <c r="T31" s="17"/>
    </row>
    <row r="32" spans="2:20" x14ac:dyDescent="0.25">
      <c r="B32" s="49" t="s">
        <v>90</v>
      </c>
      <c r="C32" s="52"/>
      <c r="D32" s="52"/>
      <c r="E32" s="52"/>
      <c r="F32" s="52"/>
      <c r="G32" s="49"/>
      <c r="H32" s="50">
        <v>1</v>
      </c>
      <c r="I32" s="50">
        <v>1</v>
      </c>
      <c r="J32" s="50">
        <v>1</v>
      </c>
      <c r="K32" s="50">
        <v>1</v>
      </c>
      <c r="L32" s="50">
        <v>1</v>
      </c>
      <c r="M32" s="50">
        <v>1</v>
      </c>
      <c r="N32" s="50">
        <v>1</v>
      </c>
      <c r="O32" s="50">
        <v>1</v>
      </c>
      <c r="P32" s="50">
        <v>1</v>
      </c>
      <c r="Q32" s="50">
        <v>1</v>
      </c>
      <c r="R32" s="50">
        <v>1</v>
      </c>
      <c r="S32" s="50">
        <v>1</v>
      </c>
      <c r="T32" s="17"/>
    </row>
    <row r="33" spans="2:20" x14ac:dyDescent="0.25">
      <c r="B33" s="49" t="s">
        <v>92</v>
      </c>
      <c r="C33" s="52"/>
      <c r="D33" s="52"/>
      <c r="E33" s="52"/>
      <c r="F33" s="52"/>
      <c r="G33" s="49"/>
      <c r="H33" s="50">
        <v>1</v>
      </c>
      <c r="I33" s="50">
        <v>1</v>
      </c>
      <c r="J33" s="50">
        <v>1</v>
      </c>
      <c r="K33" s="50">
        <v>1</v>
      </c>
      <c r="L33" s="50">
        <v>1</v>
      </c>
      <c r="M33" s="50">
        <v>1</v>
      </c>
      <c r="N33" s="50">
        <v>1</v>
      </c>
      <c r="O33" s="50">
        <v>1</v>
      </c>
      <c r="P33" s="50">
        <v>1</v>
      </c>
      <c r="Q33" s="50">
        <v>1</v>
      </c>
      <c r="R33" s="50">
        <v>1</v>
      </c>
      <c r="S33" s="50">
        <v>1</v>
      </c>
      <c r="T33" s="17"/>
    </row>
    <row r="34" spans="2:20" x14ac:dyDescent="0.25">
      <c r="B34" s="49" t="s">
        <v>91</v>
      </c>
      <c r="C34" s="52"/>
      <c r="D34" s="52"/>
      <c r="E34" s="52"/>
      <c r="F34" s="52"/>
      <c r="G34" s="49"/>
      <c r="H34" s="50">
        <v>1</v>
      </c>
      <c r="I34" s="50">
        <v>1</v>
      </c>
      <c r="J34" s="50">
        <v>1</v>
      </c>
      <c r="K34" s="50">
        <v>1</v>
      </c>
      <c r="L34" s="50">
        <v>1</v>
      </c>
      <c r="M34" s="50">
        <v>1</v>
      </c>
      <c r="N34" s="50">
        <v>1</v>
      </c>
      <c r="O34" s="50">
        <v>1</v>
      </c>
      <c r="P34" s="50">
        <v>1</v>
      </c>
      <c r="Q34" s="50">
        <v>1</v>
      </c>
      <c r="R34" s="50">
        <v>1</v>
      </c>
      <c r="S34" s="50">
        <v>1</v>
      </c>
      <c r="T34" s="17"/>
    </row>
    <row r="35" spans="2:20" x14ac:dyDescent="0.25">
      <c r="B35" s="49" t="s">
        <v>88</v>
      </c>
      <c r="C35" s="52"/>
      <c r="D35" s="52"/>
      <c r="E35" s="52"/>
      <c r="F35" s="52"/>
      <c r="G35" s="49"/>
      <c r="H35" s="50">
        <v>1</v>
      </c>
      <c r="I35" s="50">
        <v>1</v>
      </c>
      <c r="J35" s="50">
        <v>1</v>
      </c>
      <c r="K35" s="50">
        <v>1</v>
      </c>
      <c r="L35" s="50">
        <v>1</v>
      </c>
      <c r="M35" s="50">
        <v>1</v>
      </c>
      <c r="N35" s="50">
        <v>1</v>
      </c>
      <c r="O35" s="50">
        <v>1</v>
      </c>
      <c r="P35" s="50">
        <v>1</v>
      </c>
      <c r="Q35" s="50">
        <v>1</v>
      </c>
      <c r="R35" s="50">
        <v>1</v>
      </c>
      <c r="S35" s="50">
        <v>1</v>
      </c>
      <c r="T35" s="17"/>
    </row>
    <row r="36" spans="2:20" x14ac:dyDescent="0.25">
      <c r="B36" s="49"/>
      <c r="C36" s="52"/>
      <c r="D36" s="52"/>
      <c r="E36" s="52"/>
      <c r="F36" s="52"/>
      <c r="G36" s="49"/>
      <c r="H36" s="49"/>
      <c r="I36" s="52"/>
      <c r="J36" s="52"/>
      <c r="K36" s="50"/>
      <c r="L36" s="50"/>
      <c r="M36" s="50"/>
      <c r="N36" s="50"/>
      <c r="O36" s="50"/>
      <c r="P36" s="50"/>
      <c r="Q36" s="50"/>
      <c r="R36" s="50"/>
      <c r="S36" s="50"/>
      <c r="T36" s="17"/>
    </row>
    <row r="37" spans="2:20" x14ac:dyDescent="0.25">
      <c r="B37" s="48" t="s">
        <v>71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17"/>
    </row>
    <row r="38" spans="2:20" x14ac:dyDescent="0.25">
      <c r="B38" s="49" t="s">
        <v>89</v>
      </c>
      <c r="C38" s="52"/>
      <c r="D38" s="52"/>
      <c r="E38" s="52"/>
      <c r="F38" s="52"/>
      <c r="G38" s="49"/>
      <c r="H38" s="50">
        <v>0.98</v>
      </c>
      <c r="I38" s="50">
        <v>0.98</v>
      </c>
      <c r="J38" s="50">
        <v>0.98</v>
      </c>
      <c r="K38" s="50">
        <v>0.98</v>
      </c>
      <c r="L38" s="50">
        <v>0.98</v>
      </c>
      <c r="M38" s="50">
        <v>0.98</v>
      </c>
      <c r="N38" s="50">
        <v>0.98</v>
      </c>
      <c r="O38" s="50">
        <v>0.98</v>
      </c>
      <c r="P38" s="50">
        <v>0.98</v>
      </c>
      <c r="Q38" s="50">
        <v>0.98</v>
      </c>
      <c r="R38" s="50">
        <v>0.98</v>
      </c>
      <c r="S38" s="50">
        <v>0.98</v>
      </c>
      <c r="T38" s="17"/>
    </row>
    <row r="39" spans="2:20" x14ac:dyDescent="0.25">
      <c r="B39" s="49" t="s">
        <v>95</v>
      </c>
      <c r="C39" s="52"/>
      <c r="D39" s="36"/>
      <c r="E39" s="36"/>
      <c r="F39" s="36"/>
      <c r="G39" s="49"/>
      <c r="H39" s="50">
        <v>0.98</v>
      </c>
      <c r="I39" s="50">
        <v>0.98</v>
      </c>
      <c r="J39" s="50">
        <v>0.98</v>
      </c>
      <c r="K39" s="50">
        <v>0.98</v>
      </c>
      <c r="L39" s="50">
        <v>0.98</v>
      </c>
      <c r="M39" s="50">
        <v>0.98</v>
      </c>
      <c r="N39" s="50">
        <v>0.98</v>
      </c>
      <c r="O39" s="50">
        <v>0.98</v>
      </c>
      <c r="P39" s="50">
        <v>0.98</v>
      </c>
      <c r="Q39" s="50">
        <v>0.98</v>
      </c>
      <c r="R39" s="50">
        <v>0.98</v>
      </c>
      <c r="S39" s="50">
        <v>0.98</v>
      </c>
      <c r="T39" s="17"/>
    </row>
    <row r="40" spans="2:20" x14ac:dyDescent="0.25">
      <c r="B40" s="49" t="s">
        <v>90</v>
      </c>
      <c r="C40" s="52"/>
      <c r="D40" s="52"/>
      <c r="E40" s="52"/>
      <c r="F40" s="52"/>
      <c r="G40" s="49"/>
      <c r="H40" s="50">
        <v>0.98</v>
      </c>
      <c r="I40" s="50">
        <v>0.98</v>
      </c>
      <c r="J40" s="50">
        <v>0.98</v>
      </c>
      <c r="K40" s="50">
        <v>0.98</v>
      </c>
      <c r="L40" s="50">
        <v>0.98</v>
      </c>
      <c r="M40" s="50">
        <v>0.98</v>
      </c>
      <c r="N40" s="50">
        <v>0.98</v>
      </c>
      <c r="O40" s="50">
        <v>0.98</v>
      </c>
      <c r="P40" s="50">
        <v>0.98</v>
      </c>
      <c r="Q40" s="50">
        <v>0.98</v>
      </c>
      <c r="R40" s="50">
        <v>0.98</v>
      </c>
      <c r="S40" s="50">
        <v>0.98</v>
      </c>
      <c r="T40" s="17"/>
    </row>
    <row r="41" spans="2:20" x14ac:dyDescent="0.25">
      <c r="B41" s="49" t="s">
        <v>92</v>
      </c>
      <c r="C41" s="52"/>
      <c r="D41" s="52"/>
      <c r="E41" s="52"/>
      <c r="F41" s="52"/>
      <c r="G41" s="49"/>
      <c r="H41" s="50">
        <v>0.98</v>
      </c>
      <c r="I41" s="50">
        <v>0.98</v>
      </c>
      <c r="J41" s="50">
        <v>0.98</v>
      </c>
      <c r="K41" s="50">
        <v>0.98</v>
      </c>
      <c r="L41" s="50">
        <v>0.98</v>
      </c>
      <c r="M41" s="50">
        <v>0.98</v>
      </c>
      <c r="N41" s="50">
        <v>0.98</v>
      </c>
      <c r="O41" s="50">
        <v>0.98</v>
      </c>
      <c r="P41" s="50">
        <v>0.98</v>
      </c>
      <c r="Q41" s="50">
        <v>0.98</v>
      </c>
      <c r="R41" s="50">
        <v>0.98</v>
      </c>
      <c r="S41" s="50">
        <v>0.98</v>
      </c>
      <c r="T41" s="17"/>
    </row>
    <row r="42" spans="2:20" x14ac:dyDescent="0.25">
      <c r="B42" s="49" t="s">
        <v>91</v>
      </c>
      <c r="C42" s="52"/>
      <c r="D42" s="52"/>
      <c r="E42" s="52"/>
      <c r="F42" s="52"/>
      <c r="G42" s="49"/>
      <c r="H42" s="50">
        <v>0.98</v>
      </c>
      <c r="I42" s="50">
        <v>0.98</v>
      </c>
      <c r="J42" s="50">
        <v>0.98</v>
      </c>
      <c r="K42" s="50">
        <v>0.98</v>
      </c>
      <c r="L42" s="50">
        <v>0.98</v>
      </c>
      <c r="M42" s="50">
        <v>0.98</v>
      </c>
      <c r="N42" s="50">
        <v>0.98</v>
      </c>
      <c r="O42" s="50">
        <v>0.98</v>
      </c>
      <c r="P42" s="50">
        <v>0.98</v>
      </c>
      <c r="Q42" s="50">
        <v>0.98</v>
      </c>
      <c r="R42" s="50">
        <v>0.98</v>
      </c>
      <c r="S42" s="50">
        <v>0.98</v>
      </c>
      <c r="T42" s="17"/>
    </row>
    <row r="43" spans="2:20" x14ac:dyDescent="0.25">
      <c r="B43" s="49" t="s">
        <v>88</v>
      </c>
      <c r="C43" s="52"/>
      <c r="D43" s="52"/>
      <c r="E43" s="52"/>
      <c r="F43" s="52"/>
      <c r="G43" s="49"/>
      <c r="H43" s="50">
        <v>0.98</v>
      </c>
      <c r="I43" s="50">
        <v>0.98</v>
      </c>
      <c r="J43" s="50">
        <v>0.98</v>
      </c>
      <c r="K43" s="50">
        <v>0.98</v>
      </c>
      <c r="L43" s="50">
        <v>0.98</v>
      </c>
      <c r="M43" s="50">
        <v>0.98</v>
      </c>
      <c r="N43" s="50">
        <v>0.98</v>
      </c>
      <c r="O43" s="50">
        <v>0.98</v>
      </c>
      <c r="P43" s="50">
        <v>0.98</v>
      </c>
      <c r="Q43" s="50">
        <v>0.98</v>
      </c>
      <c r="R43" s="50">
        <v>0.98</v>
      </c>
      <c r="S43" s="50">
        <v>0.98</v>
      </c>
      <c r="T43" s="17"/>
    </row>
    <row r="44" spans="2:20" x14ac:dyDescent="0.25">
      <c r="B44" s="49"/>
      <c r="C44" s="52"/>
      <c r="D44" s="52"/>
      <c r="E44" s="52"/>
      <c r="F44" s="52"/>
      <c r="G44" s="49"/>
      <c r="H44" s="49"/>
      <c r="I44" s="52"/>
      <c r="J44" s="52"/>
      <c r="K44" s="50"/>
      <c r="L44" s="50"/>
      <c r="M44" s="50"/>
      <c r="N44" s="50"/>
      <c r="O44" s="50"/>
      <c r="P44" s="50"/>
      <c r="Q44" s="50"/>
      <c r="R44" s="50"/>
      <c r="S44" s="50"/>
      <c r="T44" s="17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150</v>
      </c>
      <c r="C4" s="59" t="s">
        <v>110</v>
      </c>
      <c r="E4" s="4"/>
      <c r="F4" s="4"/>
    </row>
    <row r="5" spans="1:6" x14ac:dyDescent="0.25">
      <c r="B5" s="8" t="s">
        <v>105</v>
      </c>
      <c r="C5" s="56" t="s">
        <v>106</v>
      </c>
    </row>
    <row r="6" spans="1:6" x14ac:dyDescent="0.25">
      <c r="B6" s="8" t="s">
        <v>107</v>
      </c>
      <c r="C6" s="56" t="s">
        <v>108</v>
      </c>
    </row>
    <row r="7" spans="1:6" x14ac:dyDescent="0.25">
      <c r="B7" s="8" t="s">
        <v>151</v>
      </c>
      <c r="C7" s="57">
        <v>3.0700000000000002E-2</v>
      </c>
    </row>
    <row r="8" spans="1:6" x14ac:dyDescent="0.25">
      <c r="B8" s="8" t="s">
        <v>109</v>
      </c>
      <c r="C8" s="16">
        <v>0.05</v>
      </c>
    </row>
    <row r="9" spans="1:6" x14ac:dyDescent="0.25">
      <c r="B9" s="8" t="s">
        <v>152</v>
      </c>
      <c r="C9" s="8">
        <v>0.78</v>
      </c>
    </row>
    <row r="10" spans="1:6" x14ac:dyDescent="0.25">
      <c r="B10" s="8" t="s">
        <v>153</v>
      </c>
      <c r="C10" s="8">
        <v>307.8</v>
      </c>
    </row>
    <row r="11" spans="1:6" x14ac:dyDescent="0.2">
      <c r="B11" s="14" t="s">
        <v>154</v>
      </c>
      <c r="C11" s="15">
        <v>7.4999999999999997E-2</v>
      </c>
    </row>
    <row r="12" spans="1:6" x14ac:dyDescent="0.25">
      <c r="B12" s="8" t="s">
        <v>77</v>
      </c>
      <c r="C12" s="16">
        <v>0.3</v>
      </c>
    </row>
    <row r="13" spans="1:6" x14ac:dyDescent="0.25">
      <c r="B13" s="8" t="s">
        <v>78</v>
      </c>
      <c r="C13" s="16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80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79</v>
      </c>
      <c r="G3" s="55" t="s">
        <v>87</v>
      </c>
    </row>
    <row r="4" spans="2:7" x14ac:dyDescent="0.25">
      <c r="B4" s="7" t="s">
        <v>75</v>
      </c>
      <c r="C4" s="28">
        <v>3007012</v>
      </c>
      <c r="D4" s="28">
        <v>3740973</v>
      </c>
      <c r="E4" s="28">
        <v>6350766</v>
      </c>
      <c r="F4" s="28">
        <v>9641300</v>
      </c>
      <c r="G4" s="29">
        <v>6092998</v>
      </c>
    </row>
    <row r="5" spans="2:7" x14ac:dyDescent="0.25">
      <c r="B5" s="8" t="s">
        <v>3</v>
      </c>
      <c r="C5" s="30">
        <v>4208</v>
      </c>
      <c r="D5" s="30">
        <v>14477</v>
      </c>
      <c r="E5" s="30">
        <v>181394</v>
      </c>
      <c r="F5" s="30">
        <v>1116266</v>
      </c>
      <c r="G5" s="31">
        <v>784430</v>
      </c>
    </row>
    <row r="6" spans="2:7" x14ac:dyDescent="0.25">
      <c r="B6" s="8" t="s">
        <v>2</v>
      </c>
      <c r="C6" s="30">
        <v>187136</v>
      </c>
      <c r="D6" s="30">
        <v>290575</v>
      </c>
      <c r="E6" s="30">
        <v>467972</v>
      </c>
      <c r="F6" s="30">
        <v>1001185</v>
      </c>
      <c r="G6" s="31">
        <v>533554</v>
      </c>
    </row>
    <row r="7" spans="2:7" x14ac:dyDescent="0.25">
      <c r="B7" s="9" t="s">
        <v>0</v>
      </c>
      <c r="C7" s="32">
        <f>SUM(C4:C6)</f>
        <v>3198356</v>
      </c>
      <c r="D7" s="32">
        <f>SUM(D4:D6)</f>
        <v>4046025</v>
      </c>
      <c r="E7" s="32">
        <f>SUM(E4:E6)</f>
        <v>7000132</v>
      </c>
      <c r="F7" s="32">
        <f>SUM(F4:F6)</f>
        <v>11758751</v>
      </c>
      <c r="G7" s="33">
        <f>SUM(G4:G6)</f>
        <v>7410982</v>
      </c>
    </row>
    <row r="8" spans="2:7" x14ac:dyDescent="0.25">
      <c r="B8" s="8" t="s">
        <v>42</v>
      </c>
      <c r="C8" s="30">
        <v>-2145749</v>
      </c>
      <c r="D8" s="30">
        <v>-2823302</v>
      </c>
      <c r="E8" s="30">
        <v>-4750081</v>
      </c>
      <c r="F8" s="30">
        <v>-7432704</v>
      </c>
      <c r="G8" s="31">
        <v>-4862547</v>
      </c>
    </row>
    <row r="9" spans="2:7" x14ac:dyDescent="0.25">
      <c r="B9" s="8" t="s">
        <v>40</v>
      </c>
      <c r="C9" s="30">
        <v>-4005</v>
      </c>
      <c r="D9" s="30">
        <v>-12287</v>
      </c>
      <c r="E9" s="30">
        <v>-178332</v>
      </c>
      <c r="F9" s="30">
        <v>-874538</v>
      </c>
      <c r="G9" s="31">
        <v>-705636</v>
      </c>
    </row>
    <row r="10" spans="2:7" x14ac:dyDescent="0.25">
      <c r="B10" s="8" t="s">
        <v>41</v>
      </c>
      <c r="C10" s="30">
        <v>-166931</v>
      </c>
      <c r="D10" s="30">
        <v>-286933</v>
      </c>
      <c r="E10" s="30">
        <v>-472462</v>
      </c>
      <c r="F10" s="30">
        <v>-1229022</v>
      </c>
      <c r="G10" s="31">
        <v>-767343</v>
      </c>
    </row>
    <row r="11" spans="2:7" x14ac:dyDescent="0.25">
      <c r="B11" s="9" t="s">
        <v>1</v>
      </c>
      <c r="C11" s="32">
        <f>SUM(C7:C10)</f>
        <v>881671</v>
      </c>
      <c r="D11" s="32">
        <f>SUM(D7:D10)</f>
        <v>923503</v>
      </c>
      <c r="E11" s="32">
        <f>SUM(E7:E10)</f>
        <v>1599257</v>
      </c>
      <c r="F11" s="32">
        <f>SUM(F7:F10)</f>
        <v>2222487</v>
      </c>
      <c r="G11" s="33">
        <f>SUM(G7:G10)</f>
        <v>1075456</v>
      </c>
    </row>
    <row r="12" spans="2:7" x14ac:dyDescent="0.25">
      <c r="B12" s="8" t="s">
        <v>4</v>
      </c>
      <c r="C12" s="30">
        <v>-464700</v>
      </c>
      <c r="D12" s="30">
        <v>-717900</v>
      </c>
      <c r="E12" s="30">
        <v>-834408</v>
      </c>
      <c r="F12" s="30">
        <v>-1378073</v>
      </c>
      <c r="G12" s="31">
        <v>-753225</v>
      </c>
    </row>
    <row r="13" spans="2:7" x14ac:dyDescent="0.25">
      <c r="B13" s="8" t="s">
        <v>33</v>
      </c>
      <c r="C13" s="30">
        <v>-603660</v>
      </c>
      <c r="D13" s="30">
        <v>-922232</v>
      </c>
      <c r="E13" s="30">
        <v>-1432189</v>
      </c>
      <c r="F13" s="30">
        <v>-2476500</v>
      </c>
      <c r="G13" s="31">
        <v>-1437163</v>
      </c>
    </row>
    <row r="14" spans="2:7" x14ac:dyDescent="0.25">
      <c r="B14" s="8" t="s">
        <v>84</v>
      </c>
      <c r="C14" s="30"/>
      <c r="D14" s="30"/>
      <c r="E14" s="30"/>
      <c r="F14" s="30"/>
      <c r="G14" s="31">
        <v>-103434</v>
      </c>
    </row>
    <row r="15" spans="2:7" x14ac:dyDescent="0.25">
      <c r="B15" s="9" t="s">
        <v>43</v>
      </c>
      <c r="C15" s="32">
        <f t="shared" ref="C15:F15" si="0">SUM(C11:C14)</f>
        <v>-186689</v>
      </c>
      <c r="D15" s="32">
        <f t="shared" si="0"/>
        <v>-716629</v>
      </c>
      <c r="E15" s="32">
        <f t="shared" si="0"/>
        <v>-667340</v>
      </c>
      <c r="F15" s="32">
        <f t="shared" si="0"/>
        <v>-1632086</v>
      </c>
      <c r="G15" s="33">
        <f>SUM(G11:G14)</f>
        <v>-1218366</v>
      </c>
    </row>
    <row r="16" spans="2:7" x14ac:dyDescent="0.25">
      <c r="B16" s="8" t="s">
        <v>34</v>
      </c>
      <c r="C16" s="30">
        <v>1126</v>
      </c>
      <c r="D16" s="30">
        <v>1508</v>
      </c>
      <c r="E16" s="30">
        <v>8530</v>
      </c>
      <c r="F16" s="30">
        <v>19686</v>
      </c>
      <c r="G16" s="31">
        <v>10278</v>
      </c>
    </row>
    <row r="17" spans="2:7" x14ac:dyDescent="0.25">
      <c r="B17" s="8" t="s">
        <v>5</v>
      </c>
      <c r="C17" s="30">
        <v>-100886</v>
      </c>
      <c r="D17" s="30">
        <v>-118851</v>
      </c>
      <c r="E17" s="30">
        <v>-198810</v>
      </c>
      <c r="F17" s="30">
        <v>-471259</v>
      </c>
      <c r="G17" s="31">
        <v>-313128</v>
      </c>
    </row>
    <row r="18" spans="2:7" x14ac:dyDescent="0.25">
      <c r="B18" s="8" t="s">
        <v>35</v>
      </c>
      <c r="C18" s="30">
        <v>1813</v>
      </c>
      <c r="D18" s="30">
        <v>-41652</v>
      </c>
      <c r="E18" s="30">
        <v>111272</v>
      </c>
      <c r="F18" s="30">
        <v>-125373</v>
      </c>
      <c r="G18" s="31">
        <v>13195</v>
      </c>
    </row>
    <row r="19" spans="2:7" x14ac:dyDescent="0.25">
      <c r="B19" s="9" t="s">
        <v>44</v>
      </c>
      <c r="C19" s="32">
        <f>SUM(C15:C18)</f>
        <v>-284636</v>
      </c>
      <c r="D19" s="32">
        <f>SUM(D15:D18)</f>
        <v>-875624</v>
      </c>
      <c r="E19" s="32">
        <f>SUM(E15:E18)</f>
        <v>-746348</v>
      </c>
      <c r="F19" s="32">
        <f>SUM(F15:F18)</f>
        <v>-2209032</v>
      </c>
      <c r="G19" s="33">
        <f>SUM(G15:G18)</f>
        <v>-1508021</v>
      </c>
    </row>
    <row r="20" spans="2:7" x14ac:dyDescent="0.25">
      <c r="B20" s="8" t="s">
        <v>6</v>
      </c>
      <c r="C20" s="30">
        <v>-9404</v>
      </c>
      <c r="D20" s="30">
        <v>-13039</v>
      </c>
      <c r="E20" s="30">
        <v>-26698</v>
      </c>
      <c r="F20" s="30">
        <v>-31546</v>
      </c>
      <c r="G20" s="31">
        <v>-19312</v>
      </c>
    </row>
    <row r="21" spans="2:7" x14ac:dyDescent="0.25">
      <c r="B21" s="9" t="s">
        <v>58</v>
      </c>
      <c r="C21" s="32">
        <f>SUM(C19:C20)</f>
        <v>-294040</v>
      </c>
      <c r="D21" s="32">
        <f>SUM(D19:D20)</f>
        <v>-888663</v>
      </c>
      <c r="E21" s="32">
        <f>SUM(E19:E20)</f>
        <v>-773046</v>
      </c>
      <c r="F21" s="32">
        <f>SUM(F19:F20)</f>
        <v>-2240578</v>
      </c>
      <c r="G21" s="33">
        <f>SUM(G19:G20)</f>
        <v>-1527333</v>
      </c>
    </row>
    <row r="22" spans="2:7" s="3" customFormat="1" x14ac:dyDescent="0.25">
      <c r="B22" s="8" t="s">
        <v>59</v>
      </c>
      <c r="C22" s="30">
        <v>0</v>
      </c>
      <c r="D22" s="30">
        <v>0</v>
      </c>
      <c r="E22" s="30">
        <v>98132</v>
      </c>
      <c r="F22" s="30">
        <v>279178</v>
      </c>
      <c r="G22" s="31">
        <v>100243</v>
      </c>
    </row>
    <row r="23" spans="2:7" s="3" customFormat="1" ht="13.8" thickBot="1" x14ac:dyDescent="0.3">
      <c r="B23" s="10" t="s">
        <v>36</v>
      </c>
      <c r="C23" s="34">
        <f>SUM(C21:C22)</f>
        <v>-294040</v>
      </c>
      <c r="D23" s="34">
        <f>SUM(D21:D22)</f>
        <v>-888663</v>
      </c>
      <c r="E23" s="34">
        <f>SUM(E21:E22)</f>
        <v>-674914</v>
      </c>
      <c r="F23" s="34">
        <f>SUM(F21:F22)</f>
        <v>-1961400</v>
      </c>
      <c r="G23" s="35">
        <f>SUM(G21:G22)</f>
        <v>-1427090</v>
      </c>
    </row>
    <row r="25" spans="2:7" x14ac:dyDescent="0.2">
      <c r="B25" s="27" t="s">
        <v>85</v>
      </c>
      <c r="C25" s="26"/>
      <c r="D25" s="26"/>
      <c r="E25" s="26"/>
      <c r="F25" s="26"/>
      <c r="G25" s="26"/>
    </row>
    <row r="26" spans="2:7" x14ac:dyDescent="0.2">
      <c r="B26" s="26" t="s">
        <v>140</v>
      </c>
      <c r="C26" s="36"/>
      <c r="D26" s="36">
        <f t="shared" ref="D26:F28" si="1">D4/C4-1</f>
        <v>0.2440831629537894</v>
      </c>
      <c r="E26" s="36">
        <f t="shared" si="1"/>
        <v>0.69762412078355007</v>
      </c>
      <c r="F26" s="36">
        <f t="shared" si="1"/>
        <v>0.51813182850698647</v>
      </c>
      <c r="G26" s="36"/>
    </row>
    <row r="27" spans="2:7" x14ac:dyDescent="0.2">
      <c r="B27" s="26" t="s">
        <v>141</v>
      </c>
      <c r="C27" s="36"/>
      <c r="D27" s="36">
        <f t="shared" si="1"/>
        <v>2.440351711026616</v>
      </c>
      <c r="E27" s="36">
        <f t="shared" si="1"/>
        <v>11.529805899012226</v>
      </c>
      <c r="F27" s="36">
        <f t="shared" si="1"/>
        <v>5.1538198617374338</v>
      </c>
      <c r="G27" s="36"/>
    </row>
    <row r="28" spans="2:7" x14ac:dyDescent="0.2">
      <c r="B28" s="26" t="s">
        <v>142</v>
      </c>
      <c r="C28" s="36"/>
      <c r="D28" s="36">
        <f t="shared" si="1"/>
        <v>0.55274773426812596</v>
      </c>
      <c r="E28" s="36">
        <f t="shared" si="1"/>
        <v>0.61050331239783184</v>
      </c>
      <c r="F28" s="36">
        <f t="shared" si="1"/>
        <v>1.1394121870539262</v>
      </c>
      <c r="G28" s="36"/>
    </row>
    <row r="29" spans="2:7" x14ac:dyDescent="0.2">
      <c r="B29" s="26" t="s">
        <v>60</v>
      </c>
      <c r="C29" s="36">
        <f>(C4+C8)/C4</f>
        <v>0.28641821183287597</v>
      </c>
      <c r="D29" s="36">
        <f t="shared" ref="D29:G29" si="2">(D4+D8)/D4</f>
        <v>0.24530275946926108</v>
      </c>
      <c r="E29" s="36">
        <f t="shared" si="2"/>
        <v>0.2520459736667986</v>
      </c>
      <c r="F29" s="36">
        <f t="shared" si="2"/>
        <v>0.2290765768101812</v>
      </c>
      <c r="G29" s="36">
        <f t="shared" si="2"/>
        <v>0.20194508516168888</v>
      </c>
    </row>
    <row r="30" spans="2:7" x14ac:dyDescent="0.2">
      <c r="B30" s="26" t="s">
        <v>61</v>
      </c>
      <c r="C30" s="36">
        <f t="shared" ref="C30:G30" si="3">(C5+C9)/C5</f>
        <v>4.8241444866920155E-2</v>
      </c>
      <c r="D30" s="36">
        <f t="shared" si="3"/>
        <v>0.15127443531118326</v>
      </c>
      <c r="E30" s="36">
        <f t="shared" si="3"/>
        <v>1.688038193104513E-2</v>
      </c>
      <c r="F30" s="36">
        <f t="shared" si="3"/>
        <v>0.21655053544585251</v>
      </c>
      <c r="G30" s="36">
        <f t="shared" si="3"/>
        <v>0.10044745866425303</v>
      </c>
    </row>
    <row r="31" spans="2:7" x14ac:dyDescent="0.2">
      <c r="B31" s="26" t="s">
        <v>62</v>
      </c>
      <c r="C31" s="36">
        <f t="shared" ref="C31:G31" si="4">(C6+C10)/C6</f>
        <v>0.10796960499316005</v>
      </c>
      <c r="D31" s="36">
        <f t="shared" si="4"/>
        <v>1.2533769250623763E-2</v>
      </c>
      <c r="E31" s="36">
        <f t="shared" si="4"/>
        <v>-9.5945911293838088E-3</v>
      </c>
      <c r="F31" s="36">
        <f t="shared" si="4"/>
        <v>-0.22756733271073779</v>
      </c>
      <c r="G31" s="36">
        <f t="shared" si="4"/>
        <v>-0.43817308088778267</v>
      </c>
    </row>
    <row r="32" spans="2:7" x14ac:dyDescent="0.2">
      <c r="B32" s="26" t="s">
        <v>63</v>
      </c>
      <c r="C32" s="36">
        <f>(SUM(C4:C6)+SUM(C8:C10))/SUM(C4:C6)</f>
        <v>0.27566380978227567</v>
      </c>
      <c r="D32" s="36">
        <f>(SUM(D4:D6)+SUM(D8:D10))/SUM(D4:D6)</f>
        <v>0.22824945471172323</v>
      </c>
      <c r="E32" s="36">
        <f>(SUM(E4:E6)+SUM(E8:E10))/SUM(E4:E6)</f>
        <v>0.22846097759299397</v>
      </c>
      <c r="F32" s="36">
        <f>(SUM(F4:F6)+SUM(F8:F10))/SUM(F4:F6)</f>
        <v>0.18900706376042831</v>
      </c>
      <c r="G32" s="36">
        <f>(SUM(G4:G6)+SUM(G8:G10))/SUM(G4:G6)</f>
        <v>0.14511653111557957</v>
      </c>
    </row>
    <row r="33" spans="2:7" x14ac:dyDescent="0.2">
      <c r="B33" s="26" t="s">
        <v>57</v>
      </c>
      <c r="C33" s="36">
        <f>C15/C7</f>
        <v>-5.8370300241749197E-2</v>
      </c>
      <c r="D33" s="36">
        <f t="shared" ref="D33:G33" si="5">D15/D7</f>
        <v>-0.17711927138364197</v>
      </c>
      <c r="E33" s="36">
        <f t="shared" si="5"/>
        <v>-9.533248801594027E-2</v>
      </c>
      <c r="F33" s="36">
        <f t="shared" si="5"/>
        <v>-0.13879756446921956</v>
      </c>
      <c r="G33" s="36">
        <f t="shared" si="5"/>
        <v>-0.16440007545558741</v>
      </c>
    </row>
    <row r="34" spans="2:7" x14ac:dyDescent="0.2">
      <c r="B34" s="26" t="s">
        <v>64</v>
      </c>
      <c r="C34" s="36">
        <f>C23/C7</f>
        <v>-9.1934731468291842E-2</v>
      </c>
      <c r="D34" s="36">
        <f t="shared" ref="D34:G34" si="6">D23/D7</f>
        <v>-0.21963853411681836</v>
      </c>
      <c r="E34" s="36">
        <f t="shared" si="6"/>
        <v>-9.6414467612896446E-2</v>
      </c>
      <c r="F34" s="36">
        <f t="shared" si="6"/>
        <v>-0.16680343005817538</v>
      </c>
      <c r="G34" s="36">
        <f t="shared" si="6"/>
        <v>-0.19256422428228809</v>
      </c>
    </row>
    <row r="35" spans="2:7" x14ac:dyDescent="0.2">
      <c r="B35" s="26" t="s">
        <v>55</v>
      </c>
      <c r="C35" s="36">
        <f>C23/'Balance Sheet Input'!C17</f>
        <v>-5.0429907933346216E-2</v>
      </c>
      <c r="D35" s="36">
        <f>D23/'Balance Sheet Input'!D17</f>
        <v>-0.11014746145205113</v>
      </c>
      <c r="E35" s="36">
        <f>E23/'Balance Sheet Input'!E17</f>
        <v>-2.9779021214012873E-2</v>
      </c>
      <c r="F35" s="36">
        <f>F23/'Balance Sheet Input'!F17</f>
        <v>-6.8447898704647764E-2</v>
      </c>
      <c r="G35" s="36">
        <f>G23/'Balance Sheet Input'!G17</f>
        <v>-5.1131852382658542E-2</v>
      </c>
    </row>
    <row r="36" spans="2:7" x14ac:dyDescent="0.2">
      <c r="B36" s="26" t="s">
        <v>56</v>
      </c>
      <c r="C36" s="36">
        <f>C23/'Balance Sheet Input'!C31</f>
        <v>-0.32251483476105341</v>
      </c>
      <c r="D36" s="36">
        <f>D23/'Balance Sheet Input'!D31</f>
        <v>-0.82002373341798129</v>
      </c>
      <c r="E36" s="36">
        <f>E23/'Balance Sheet Input'!E31</f>
        <v>-0.1420001342335255</v>
      </c>
      <c r="F36" s="36">
        <f>F23/'Balance Sheet Input'!F31</f>
        <v>-0.46289544000555077</v>
      </c>
      <c r="G36" s="3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82</v>
      </c>
    </row>
    <row r="3" spans="2:7" ht="24" x14ac:dyDescent="0.25">
      <c r="B3" s="5" t="s">
        <v>37</v>
      </c>
      <c r="C3" s="19" t="s">
        <v>48</v>
      </c>
      <c r="D3" s="19" t="s">
        <v>49</v>
      </c>
      <c r="E3" s="19" t="s">
        <v>50</v>
      </c>
      <c r="F3" s="19" t="s">
        <v>81</v>
      </c>
      <c r="G3" s="22" t="s">
        <v>83</v>
      </c>
    </row>
    <row r="4" spans="2:7" x14ac:dyDescent="0.25">
      <c r="B4" s="8" t="s">
        <v>7</v>
      </c>
      <c r="C4" s="37">
        <v>1905713</v>
      </c>
      <c r="D4" s="37">
        <v>1196908</v>
      </c>
      <c r="E4" s="37">
        <v>3393216</v>
      </c>
      <c r="F4" s="37">
        <v>3367914</v>
      </c>
      <c r="G4" s="38">
        <v>2236424</v>
      </c>
    </row>
    <row r="5" spans="2:7" x14ac:dyDescent="0.25">
      <c r="B5" s="8" t="s">
        <v>39</v>
      </c>
      <c r="C5" s="37">
        <v>17947</v>
      </c>
      <c r="D5" s="37">
        <v>22628</v>
      </c>
      <c r="E5" s="37">
        <v>105519</v>
      </c>
      <c r="F5" s="37">
        <v>155323</v>
      </c>
      <c r="G5" s="38">
        <v>146822</v>
      </c>
    </row>
    <row r="6" spans="2:7" x14ac:dyDescent="0.25">
      <c r="B6" s="8" t="s">
        <v>8</v>
      </c>
      <c r="C6" s="37">
        <v>226604</v>
      </c>
      <c r="D6" s="37">
        <v>168965</v>
      </c>
      <c r="E6" s="37">
        <v>499142</v>
      </c>
      <c r="F6" s="37">
        <v>515381</v>
      </c>
      <c r="G6" s="38">
        <v>569874</v>
      </c>
    </row>
    <row r="7" spans="2:7" x14ac:dyDescent="0.25">
      <c r="B7" s="8" t="s">
        <v>9</v>
      </c>
      <c r="C7" s="37">
        <v>953675</v>
      </c>
      <c r="D7" s="37">
        <v>1277838</v>
      </c>
      <c r="E7" s="37">
        <v>2067454</v>
      </c>
      <c r="F7" s="37">
        <v>2263537</v>
      </c>
      <c r="G7" s="38">
        <v>3324643</v>
      </c>
    </row>
    <row r="8" spans="2:7" x14ac:dyDescent="0.25">
      <c r="B8" s="8" t="s">
        <v>10</v>
      </c>
      <c r="C8" s="37">
        <v>76134</v>
      </c>
      <c r="D8" s="37">
        <v>115667</v>
      </c>
      <c r="E8" s="37">
        <v>194465</v>
      </c>
      <c r="F8" s="37">
        <v>268365</v>
      </c>
      <c r="G8" s="38">
        <v>422034</v>
      </c>
    </row>
    <row r="9" spans="2:7" ht="12" x14ac:dyDescent="0.25">
      <c r="B9" s="9" t="s">
        <v>11</v>
      </c>
      <c r="C9" s="39">
        <f>SUM(C4:C8)</f>
        <v>3180073</v>
      </c>
      <c r="D9" s="39">
        <f>SUM(D4:D8)</f>
        <v>2782006</v>
      </c>
      <c r="E9" s="39">
        <f>SUM(E4:E8)</f>
        <v>6259796</v>
      </c>
      <c r="F9" s="39">
        <f>SUM(F4:F8)</f>
        <v>6570520</v>
      </c>
      <c r="G9" s="40">
        <f>SUM(G4:G8)</f>
        <v>6699797</v>
      </c>
    </row>
    <row r="10" spans="2:7" x14ac:dyDescent="0.25">
      <c r="B10" s="8" t="s">
        <v>12</v>
      </c>
      <c r="C10" s="37">
        <v>766744</v>
      </c>
      <c r="D10" s="37">
        <v>1791403</v>
      </c>
      <c r="E10" s="37">
        <v>3134080</v>
      </c>
      <c r="F10" s="37">
        <v>4116604</v>
      </c>
      <c r="G10" s="38">
        <v>2282047</v>
      </c>
    </row>
    <row r="11" spans="2:7" x14ac:dyDescent="0.25">
      <c r="B11" s="8" t="s">
        <v>13</v>
      </c>
      <c r="C11" s="37">
        <v>0</v>
      </c>
      <c r="D11" s="37">
        <v>0</v>
      </c>
      <c r="E11" s="37">
        <v>5919880</v>
      </c>
      <c r="F11" s="37">
        <v>6347490</v>
      </c>
      <c r="G11" s="38">
        <v>6340031</v>
      </c>
    </row>
    <row r="12" spans="2:7" x14ac:dyDescent="0.25">
      <c r="B12" s="8" t="s">
        <v>14</v>
      </c>
      <c r="C12" s="37">
        <v>1829267</v>
      </c>
      <c r="D12" s="37">
        <v>3403334</v>
      </c>
      <c r="E12" s="37">
        <v>5982957</v>
      </c>
      <c r="F12" s="37">
        <v>10027522</v>
      </c>
      <c r="G12" s="38">
        <v>10969348</v>
      </c>
    </row>
    <row r="13" spans="2:7" x14ac:dyDescent="0.25">
      <c r="B13" s="8" t="s">
        <v>15</v>
      </c>
      <c r="C13" s="37">
        <v>0</v>
      </c>
      <c r="D13" s="37">
        <v>12816</v>
      </c>
      <c r="E13" s="37">
        <v>376145</v>
      </c>
      <c r="F13" s="37">
        <v>361502</v>
      </c>
      <c r="G13" s="38">
        <v>364690</v>
      </c>
    </row>
    <row r="14" spans="2:7" x14ac:dyDescent="0.25">
      <c r="B14" s="8" t="s">
        <v>16</v>
      </c>
      <c r="C14" s="37">
        <v>0</v>
      </c>
      <c r="D14" s="37">
        <v>0</v>
      </c>
      <c r="E14" s="37">
        <v>506302</v>
      </c>
      <c r="F14" s="37">
        <f>456652+60237</f>
        <v>516889</v>
      </c>
      <c r="G14" s="38">
        <v>434841</v>
      </c>
    </row>
    <row r="15" spans="2:7" x14ac:dyDescent="0.25">
      <c r="B15" s="8" t="s">
        <v>17</v>
      </c>
      <c r="C15" s="37">
        <v>11374</v>
      </c>
      <c r="D15" s="37">
        <v>31522</v>
      </c>
      <c r="E15" s="37">
        <v>268165</v>
      </c>
      <c r="F15" s="37">
        <v>441722</v>
      </c>
      <c r="G15" s="38">
        <v>399992</v>
      </c>
    </row>
    <row r="16" spans="2:7" x14ac:dyDescent="0.25">
      <c r="B16" s="8" t="s">
        <v>18</v>
      </c>
      <c r="C16" s="37">
        <v>43209</v>
      </c>
      <c r="D16" s="37">
        <v>46858</v>
      </c>
      <c r="E16" s="37">
        <v>216751</v>
      </c>
      <c r="F16" s="37">
        <v>273123</v>
      </c>
      <c r="G16" s="38">
        <v>419254</v>
      </c>
    </row>
    <row r="17" spans="2:7" ht="12.6" thickBot="1" x14ac:dyDescent="0.3">
      <c r="B17" s="10" t="s">
        <v>19</v>
      </c>
      <c r="C17" s="41">
        <f t="shared" ref="C17:E17" si="0">SUM(C9:C16)</f>
        <v>5830667</v>
      </c>
      <c r="D17" s="41">
        <f t="shared" si="0"/>
        <v>8067939</v>
      </c>
      <c r="E17" s="41">
        <f t="shared" si="0"/>
        <v>22664076</v>
      </c>
      <c r="F17" s="41">
        <f>SUM(F9:F16)</f>
        <v>28655372</v>
      </c>
      <c r="G17" s="42">
        <f>SUM(G9:G16)</f>
        <v>27910000</v>
      </c>
    </row>
    <row r="18" spans="2:7" x14ac:dyDescent="0.25">
      <c r="B18" s="8" t="s">
        <v>20</v>
      </c>
      <c r="C18" s="37">
        <v>777946</v>
      </c>
      <c r="D18" s="37">
        <v>916148</v>
      </c>
      <c r="E18" s="37">
        <v>1860341</v>
      </c>
      <c r="F18" s="37">
        <v>2390250</v>
      </c>
      <c r="G18" s="38">
        <v>3030493</v>
      </c>
    </row>
    <row r="19" spans="2:7" x14ac:dyDescent="0.25">
      <c r="B19" s="8" t="s">
        <v>38</v>
      </c>
      <c r="C19" s="37">
        <v>268883</v>
      </c>
      <c r="D19" s="37">
        <v>422798</v>
      </c>
      <c r="E19" s="37">
        <v>1210028</v>
      </c>
      <c r="F19" s="37">
        <v>1731366</v>
      </c>
      <c r="G19" s="38">
        <v>1814979</v>
      </c>
    </row>
    <row r="20" spans="2:7" x14ac:dyDescent="0.25">
      <c r="B20" s="8" t="s">
        <v>21</v>
      </c>
      <c r="C20" s="37">
        <v>191651</v>
      </c>
      <c r="D20" s="37">
        <v>423961</v>
      </c>
      <c r="E20" s="37">
        <v>763126</v>
      </c>
      <c r="F20" s="37">
        <v>1015253</v>
      </c>
      <c r="G20" s="38">
        <v>576321</v>
      </c>
    </row>
    <row r="21" spans="2:7" x14ac:dyDescent="0.25">
      <c r="B21" s="8" t="s">
        <v>22</v>
      </c>
      <c r="C21" s="37">
        <v>0</v>
      </c>
      <c r="D21" s="37">
        <v>136831</v>
      </c>
      <c r="E21" s="37">
        <v>179504</v>
      </c>
      <c r="F21" s="37">
        <v>787333</v>
      </c>
      <c r="G21" s="38">
        <v>674255</v>
      </c>
    </row>
    <row r="22" spans="2:7" x14ac:dyDescent="0.25">
      <c r="B22" s="8" t="s">
        <v>23</v>
      </c>
      <c r="C22" s="37">
        <v>257587</v>
      </c>
      <c r="D22" s="37">
        <v>283370</v>
      </c>
      <c r="E22" s="37">
        <v>663859</v>
      </c>
      <c r="F22" s="37">
        <v>853919</v>
      </c>
      <c r="G22" s="38">
        <v>942129</v>
      </c>
    </row>
    <row r="23" spans="2:7" x14ac:dyDescent="0.25">
      <c r="B23" s="8" t="s">
        <v>24</v>
      </c>
      <c r="C23" s="37">
        <v>611099</v>
      </c>
      <c r="D23" s="37">
        <v>627927</v>
      </c>
      <c r="E23" s="37">
        <v>984211</v>
      </c>
      <c r="F23" s="37">
        <v>796549</v>
      </c>
      <c r="G23" s="38">
        <v>2103185</v>
      </c>
    </row>
    <row r="24" spans="2:7" x14ac:dyDescent="0.25">
      <c r="B24" s="8" t="s">
        <v>25</v>
      </c>
      <c r="C24" s="37">
        <v>0</v>
      </c>
      <c r="D24" s="37"/>
      <c r="E24" s="37"/>
      <c r="F24" s="30"/>
      <c r="G24" s="31"/>
    </row>
    <row r="25" spans="2:7" x14ac:dyDescent="0.25">
      <c r="B25" s="8" t="s">
        <v>26</v>
      </c>
      <c r="C25" s="37">
        <v>0</v>
      </c>
      <c r="D25" s="37">
        <v>0</v>
      </c>
      <c r="E25" s="37">
        <v>165936</v>
      </c>
      <c r="F25" s="37">
        <v>100000</v>
      </c>
      <c r="G25" s="38">
        <v>0</v>
      </c>
    </row>
    <row r="26" spans="2:7" ht="12" x14ac:dyDescent="0.25">
      <c r="B26" s="9" t="s">
        <v>27</v>
      </c>
      <c r="C26" s="39">
        <v>2107166</v>
      </c>
      <c r="D26" s="39">
        <v>2811035</v>
      </c>
      <c r="E26" s="39">
        <v>5827005</v>
      </c>
      <c r="F26" s="39">
        <f>SUM(F18:F25)</f>
        <v>7674670</v>
      </c>
      <c r="G26" s="40">
        <f>SUM(G18:G25)</f>
        <v>9141362</v>
      </c>
    </row>
    <row r="27" spans="2:7" x14ac:dyDescent="0.25">
      <c r="B27" s="8" t="s">
        <v>28</v>
      </c>
      <c r="C27" s="37"/>
      <c r="D27" s="37"/>
      <c r="E27" s="37"/>
      <c r="F27" s="37"/>
      <c r="G27" s="38"/>
    </row>
    <row r="28" spans="2:7" x14ac:dyDescent="0.25">
      <c r="B28" s="8" t="s">
        <v>16</v>
      </c>
      <c r="C28" s="37">
        <v>1818785</v>
      </c>
      <c r="D28" s="37">
        <v>2021093</v>
      </c>
      <c r="E28" s="37">
        <v>5860049</v>
      </c>
      <c r="F28" s="37">
        <v>9415700</v>
      </c>
      <c r="G28" s="38">
        <v>9513390</v>
      </c>
    </row>
    <row r="29" spans="2:7" x14ac:dyDescent="0.25">
      <c r="B29" s="8" t="s">
        <v>66</v>
      </c>
      <c r="C29" s="30">
        <v>993006</v>
      </c>
      <c r="D29" s="30">
        <v>2152107</v>
      </c>
      <c r="E29" s="30">
        <v>5438936</v>
      </c>
      <c r="F29" s="30">
        <v>6330414</v>
      </c>
      <c r="G29" s="31">
        <f>795820+584857+2607458</f>
        <v>3988135</v>
      </c>
    </row>
    <row r="30" spans="2:7" ht="12" x14ac:dyDescent="0.25">
      <c r="B30" s="21" t="s">
        <v>29</v>
      </c>
      <c r="C30" s="43">
        <f>SUM(C26:C29)</f>
        <v>4918957</v>
      </c>
      <c r="D30" s="43">
        <f>SUM(D26:D29)</f>
        <v>6984235</v>
      </c>
      <c r="E30" s="43">
        <f>SUM(E26:E29)</f>
        <v>17125990</v>
      </c>
      <c r="F30" s="43">
        <f>SUM(F26:F29)</f>
        <v>23420784</v>
      </c>
      <c r="G30" s="44">
        <f>SUM(G26:G29)</f>
        <v>22642887</v>
      </c>
    </row>
    <row r="31" spans="2:7" ht="12" x14ac:dyDescent="0.25">
      <c r="B31" s="21" t="s">
        <v>30</v>
      </c>
      <c r="C31" s="43">
        <v>911710</v>
      </c>
      <c r="D31" s="43">
        <v>1083704</v>
      </c>
      <c r="E31" s="43">
        <v>4752911</v>
      </c>
      <c r="F31" s="43">
        <v>4237242</v>
      </c>
      <c r="G31" s="44">
        <f>3906421+539536</f>
        <v>4445957</v>
      </c>
    </row>
    <row r="32" spans="2:7" x14ac:dyDescent="0.25">
      <c r="B32" s="8" t="s">
        <v>31</v>
      </c>
      <c r="C32" s="37">
        <v>0</v>
      </c>
      <c r="D32" s="37">
        <v>0</v>
      </c>
      <c r="E32" s="37">
        <v>785175</v>
      </c>
      <c r="F32" s="37">
        <v>997346</v>
      </c>
      <c r="G32" s="38">
        <v>821156</v>
      </c>
    </row>
    <row r="33" spans="2:7" ht="12.6" thickBot="1" x14ac:dyDescent="0.3">
      <c r="B33" s="10" t="s">
        <v>32</v>
      </c>
      <c r="C33" s="41">
        <f>C30+C31+C32</f>
        <v>5830667</v>
      </c>
      <c r="D33" s="41">
        <f>D30+D31+D32</f>
        <v>8067939</v>
      </c>
      <c r="E33" s="41">
        <f>E30+E31+E32</f>
        <v>22664076</v>
      </c>
      <c r="F33" s="41">
        <f>F30+F31+F32</f>
        <v>28655372</v>
      </c>
      <c r="G33" s="42">
        <f>G30+G31+G32</f>
        <v>27910000</v>
      </c>
    </row>
    <row r="34" spans="2:7" x14ac:dyDescent="0.25">
      <c r="F34" s="20"/>
    </row>
    <row r="35" spans="2:7" x14ac:dyDescent="0.2">
      <c r="B35" s="25" t="s">
        <v>85</v>
      </c>
      <c r="C35" s="24"/>
      <c r="D35" s="24"/>
      <c r="E35" s="24"/>
      <c r="F35" s="24"/>
      <c r="G35" s="24"/>
    </row>
    <row r="36" spans="2:7" x14ac:dyDescent="0.2">
      <c r="B36" s="25" t="s">
        <v>143</v>
      </c>
      <c r="C36" s="24"/>
      <c r="D36" s="24"/>
      <c r="E36" s="24"/>
      <c r="F36" s="24"/>
      <c r="G36" s="24"/>
    </row>
    <row r="37" spans="2:7" x14ac:dyDescent="0.2">
      <c r="B37" s="23" t="s">
        <v>145</v>
      </c>
      <c r="C37" s="24">
        <f>(C4+C5)/C26</f>
        <v>0.91291336325662054</v>
      </c>
      <c r="D37" s="24">
        <f t="shared" ref="D37:G37" si="1">(D4+D5)/D26</f>
        <v>0.43383878180100921</v>
      </c>
      <c r="E37" s="24">
        <f t="shared" si="1"/>
        <v>0.60043452854425217</v>
      </c>
      <c r="F37" s="24">
        <f t="shared" si="1"/>
        <v>0.45907341944344188</v>
      </c>
      <c r="G37" s="24">
        <f t="shared" si="1"/>
        <v>0.26071016550925341</v>
      </c>
    </row>
    <row r="38" spans="2:7" x14ac:dyDescent="0.2">
      <c r="B38" s="23" t="s">
        <v>146</v>
      </c>
      <c r="C38" s="24">
        <f>C9/C26</f>
        <v>1.5091706111431182</v>
      </c>
      <c r="D38" s="24">
        <f>D9/D26</f>
        <v>0.98967319866170289</v>
      </c>
      <c r="E38" s="24">
        <f>E9/E26</f>
        <v>1.0742733187975642</v>
      </c>
      <c r="F38" s="24">
        <f>F9/F26</f>
        <v>0.8561306219029613</v>
      </c>
      <c r="G38" s="24">
        <f>G9/G26</f>
        <v>0.7329101505880633</v>
      </c>
    </row>
    <row r="39" spans="2:7" x14ac:dyDescent="0.2">
      <c r="B39" s="23" t="s">
        <v>51</v>
      </c>
      <c r="C39" s="24">
        <f>C6/'P&amp;L Input'!C7*360</f>
        <v>25.506053735106413</v>
      </c>
      <c r="D39" s="24">
        <f>D6/'P&amp;L Input'!D7*360</f>
        <v>15.033866572747325</v>
      </c>
      <c r="E39" s="24">
        <f>E6/'P&amp;L Input'!E7*360</f>
        <v>25.66967594325364</v>
      </c>
      <c r="F39" s="24">
        <f>F6/'P&amp;L Input'!F7*360</f>
        <v>15.77864519794662</v>
      </c>
      <c r="G39" s="24">
        <f>G6/'P&amp;L Input'!G7*180</f>
        <v>13.841258823729435</v>
      </c>
    </row>
    <row r="40" spans="2:7" x14ac:dyDescent="0.2">
      <c r="B40" s="23" t="s">
        <v>52</v>
      </c>
      <c r="C40" s="24">
        <f>-C7/SUM('P&amp;L Input'!C8:C10)*360</f>
        <v>148.19580564470351</v>
      </c>
      <c r="D40" s="24">
        <f>-D7/SUM('P&amp;L Input'!D8:D10)*360</f>
        <v>147.32375944829212</v>
      </c>
      <c r="E40" s="24">
        <f>-E7/SUM('P&amp;L Input'!E8:E10)*360</f>
        <v>137.80793667692734</v>
      </c>
      <c r="F40" s="24">
        <f>-F7/SUM('P&amp;L Input'!F8:F10)*360</f>
        <v>85.449953986173199</v>
      </c>
      <c r="G40" s="24">
        <f>-G7/SUM('P&amp;L Input'!G8:G10)*180</f>
        <v>94.457151624032477</v>
      </c>
    </row>
    <row r="41" spans="2:7" x14ac:dyDescent="0.2">
      <c r="B41" s="23" t="s">
        <v>53</v>
      </c>
      <c r="C41" s="24">
        <f>-C18/SUM('P&amp;L Input'!C8:C10)*360</f>
        <v>120.88849368817945</v>
      </c>
      <c r="D41" s="24">
        <f>-D18/SUM('P&amp;L Input'!D8:D10)*360</f>
        <v>105.62400521117225</v>
      </c>
      <c r="E41" s="24">
        <f>-E18/SUM('P&amp;L Input'!E8:E10)*360</f>
        <v>124.00264031291226</v>
      </c>
      <c r="F41" s="24">
        <f>-F18/SUM('P&amp;L Input'!F8:F10)*360</f>
        <v>90.233449912879919</v>
      </c>
      <c r="G41" s="24">
        <f>-G18/SUM('P&amp;L Input'!G8:G10)*180</f>
        <v>86.099992328971581</v>
      </c>
    </row>
    <row r="42" spans="2:7" x14ac:dyDescent="0.2">
      <c r="B42" s="23" t="s">
        <v>54</v>
      </c>
      <c r="C42" s="24">
        <f>C39+C40-C41</f>
        <v>52.813365691630466</v>
      </c>
      <c r="D42" s="24">
        <f>D39+D40-D41</f>
        <v>56.73362080986719</v>
      </c>
      <c r="E42" s="24">
        <f>E39+E40-E41</f>
        <v>39.474972307268729</v>
      </c>
      <c r="F42" s="24">
        <f>F39+F40-F41</f>
        <v>10.995149271239896</v>
      </c>
      <c r="G42" s="24">
        <f>G39+G40-G41</f>
        <v>22.198418118790329</v>
      </c>
    </row>
    <row r="43" spans="2:7" x14ac:dyDescent="0.2">
      <c r="B43" s="25" t="s">
        <v>147</v>
      </c>
      <c r="C43" s="24"/>
      <c r="D43" s="24"/>
      <c r="E43" s="24"/>
      <c r="F43" s="24"/>
      <c r="G43" s="24"/>
    </row>
    <row r="44" spans="2:7" x14ac:dyDescent="0.2">
      <c r="B44" s="23" t="s">
        <v>144</v>
      </c>
      <c r="C44" s="24">
        <f>C17/C30</f>
        <v>1.1853462024571468</v>
      </c>
      <c r="D44" s="24">
        <f t="shared" ref="D44:G44" si="2">D17/D30</f>
        <v>1.1551643093338069</v>
      </c>
      <c r="E44" s="24">
        <f t="shared" si="2"/>
        <v>1.3233731889368148</v>
      </c>
      <c r="F44" s="24">
        <f t="shared" si="2"/>
        <v>1.2235018264119595</v>
      </c>
      <c r="G44" s="24">
        <f t="shared" si="2"/>
        <v>1.23261667118685</v>
      </c>
    </row>
    <row r="45" spans="2:7" x14ac:dyDescent="0.2">
      <c r="B45" s="23" t="s">
        <v>148</v>
      </c>
      <c r="C45" s="70" t="s">
        <v>149</v>
      </c>
      <c r="D45" s="70" t="s">
        <v>149</v>
      </c>
      <c r="E45" s="70" t="s">
        <v>149</v>
      </c>
      <c r="F45" s="70" t="s">
        <v>149</v>
      </c>
      <c r="G45" s="70" t="s">
        <v>149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130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topLeftCell="G1" workbookViewId="0">
      <selection activeCell="S5" sqref="S5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94</v>
      </c>
    </row>
    <row r="2" spans="1:19" ht="15.6" x14ac:dyDescent="0.25">
      <c r="A2" s="1"/>
      <c r="B2" s="2"/>
    </row>
    <row r="3" spans="1:19" ht="12" x14ac:dyDescent="0.25">
      <c r="C3" s="71" t="s">
        <v>96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19" ht="24" x14ac:dyDescent="0.25">
      <c r="B4" s="18" t="s">
        <v>86</v>
      </c>
      <c r="C4" s="6" t="s">
        <v>45</v>
      </c>
      <c r="D4" s="6" t="s">
        <v>46</v>
      </c>
      <c r="E4" s="6" t="s">
        <v>47</v>
      </c>
      <c r="F4" s="6" t="s">
        <v>79</v>
      </c>
      <c r="G4" s="6" t="s">
        <v>87</v>
      </c>
      <c r="H4" s="55" t="s">
        <v>98</v>
      </c>
      <c r="I4" s="55" t="s">
        <v>97</v>
      </c>
      <c r="J4" s="55" t="s">
        <v>99</v>
      </c>
      <c r="K4" s="55" t="s">
        <v>100</v>
      </c>
      <c r="L4" s="55" t="s">
        <v>101</v>
      </c>
      <c r="M4" s="55" t="s">
        <v>102</v>
      </c>
      <c r="N4" s="55" t="s">
        <v>103</v>
      </c>
      <c r="O4" s="55" t="s">
        <v>134</v>
      </c>
      <c r="P4" s="55" t="s">
        <v>135</v>
      </c>
      <c r="Q4" s="55" t="s">
        <v>136</v>
      </c>
      <c r="R4" s="55" t="s">
        <v>137</v>
      </c>
      <c r="S4" s="55" t="s">
        <v>138</v>
      </c>
    </row>
    <row r="5" spans="1:19" x14ac:dyDescent="0.25">
      <c r="B5" s="8" t="s">
        <v>89</v>
      </c>
      <c r="C5" s="30">
        <v>0</v>
      </c>
      <c r="D5" s="30">
        <v>0</v>
      </c>
      <c r="E5" s="30">
        <v>0</v>
      </c>
      <c r="F5" s="30">
        <v>1764</v>
      </c>
      <c r="G5" s="30">
        <v>26620</v>
      </c>
      <c r="H5" s="31">
        <f>26*4000</f>
        <v>104000</v>
      </c>
      <c r="I5" s="31">
        <f>G5+H5</f>
        <v>130620</v>
      </c>
      <c r="J5" s="31">
        <f>52*5000</f>
        <v>260000</v>
      </c>
      <c r="K5" s="31">
        <f>52*8000</f>
        <v>416000</v>
      </c>
      <c r="L5" s="31">
        <f>K5*(1+L15)</f>
        <v>457600.00000000006</v>
      </c>
      <c r="M5" s="31">
        <f>L5*(1+M15)</f>
        <v>503360.00000000012</v>
      </c>
      <c r="N5" s="31">
        <f>M5*(1+N15)</f>
        <v>528528.00000000012</v>
      </c>
      <c r="O5" s="31">
        <f t="shared" ref="O5:S5" si="0">N5*(1+O15)</f>
        <v>554954.40000000014</v>
      </c>
      <c r="P5" s="31">
        <f t="shared" si="0"/>
        <v>566053.48800000013</v>
      </c>
      <c r="Q5" s="31">
        <f t="shared" si="0"/>
        <v>577374.55776000011</v>
      </c>
      <c r="R5" s="31">
        <f t="shared" si="0"/>
        <v>588922.04891520017</v>
      </c>
      <c r="S5" s="31">
        <f t="shared" si="0"/>
        <v>600700.48989350419</v>
      </c>
    </row>
    <row r="6" spans="1:19" x14ac:dyDescent="0.25">
      <c r="B6" s="8" t="s">
        <v>95</v>
      </c>
      <c r="C6" s="30">
        <v>33600</v>
      </c>
      <c r="D6" s="30">
        <v>50580</v>
      </c>
      <c r="E6" s="30">
        <v>76230</v>
      </c>
      <c r="F6" s="30">
        <v>101312</v>
      </c>
      <c r="G6" s="30">
        <f>22660+21440</f>
        <v>44100</v>
      </c>
      <c r="H6" s="31">
        <v>55900</v>
      </c>
      <c r="I6" s="31">
        <f t="shared" ref="I6:I10" si="1">G6+H6</f>
        <v>100000</v>
      </c>
      <c r="J6" s="31">
        <f>I6*(1+J16)</f>
        <v>102000</v>
      </c>
      <c r="K6" s="31">
        <f>J6*(1+K16)</f>
        <v>104040</v>
      </c>
      <c r="L6" s="31">
        <f>K6*(1+L16)</f>
        <v>106120.8</v>
      </c>
      <c r="M6" s="31">
        <f t="shared" ref="M6:S6" si="2">L6*(1+M16)</f>
        <v>108243.216</v>
      </c>
      <c r="N6" s="31">
        <f t="shared" si="2"/>
        <v>110408.08032000001</v>
      </c>
      <c r="O6" s="31">
        <f t="shared" si="2"/>
        <v>112616.24192640001</v>
      </c>
      <c r="P6" s="31">
        <f t="shared" si="2"/>
        <v>114868.56676492801</v>
      </c>
      <c r="Q6" s="31">
        <f t="shared" si="2"/>
        <v>117165.93810022657</v>
      </c>
      <c r="R6" s="31">
        <f t="shared" si="2"/>
        <v>119509.25686223111</v>
      </c>
      <c r="S6" s="31">
        <f t="shared" si="2"/>
        <v>121899.44199947573</v>
      </c>
    </row>
    <row r="7" spans="1:19" x14ac:dyDescent="0.25">
      <c r="B7" s="8" t="s">
        <v>90</v>
      </c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1">
        <v>0</v>
      </c>
      <c r="I7" s="31">
        <f t="shared" si="1"/>
        <v>0</v>
      </c>
      <c r="J7" s="31">
        <f>F5</f>
        <v>1764</v>
      </c>
      <c r="K7" s="31">
        <f>J7*(1+K17)</f>
        <v>130620</v>
      </c>
      <c r="L7" s="31">
        <f>K7*(1+L17)</f>
        <v>260000</v>
      </c>
      <c r="M7" s="31">
        <f t="shared" ref="M7:S7" si="3">L7*(1+M17)</f>
        <v>416000</v>
      </c>
      <c r="N7" s="31">
        <f t="shared" si="3"/>
        <v>457600.00000000006</v>
      </c>
      <c r="O7" s="31">
        <f t="shared" si="3"/>
        <v>503360.00000000012</v>
      </c>
      <c r="P7" s="31">
        <f t="shared" si="3"/>
        <v>528528.00000000012</v>
      </c>
      <c r="Q7" s="31">
        <f t="shared" si="3"/>
        <v>554954.40000000014</v>
      </c>
      <c r="R7" s="31">
        <f t="shared" si="3"/>
        <v>566053.48800000013</v>
      </c>
      <c r="S7" s="31">
        <f t="shared" si="3"/>
        <v>577374.55776000011</v>
      </c>
    </row>
    <row r="8" spans="1:19" x14ac:dyDescent="0.25">
      <c r="B8" s="8" t="s">
        <v>92</v>
      </c>
      <c r="C8" s="30">
        <v>0</v>
      </c>
      <c r="D8" s="30">
        <v>0</v>
      </c>
      <c r="E8" s="30">
        <v>0</v>
      </c>
      <c r="F8" s="30">
        <v>0</v>
      </c>
      <c r="G8" s="30">
        <v>0</v>
      </c>
      <c r="H8" s="31">
        <v>0</v>
      </c>
      <c r="I8" s="31">
        <f t="shared" si="1"/>
        <v>0</v>
      </c>
      <c r="J8" s="31">
        <v>0</v>
      </c>
      <c r="K8" s="31">
        <v>500</v>
      </c>
      <c r="L8" s="31">
        <f t="shared" ref="L8:S8" si="4">K8*(1+L18)</f>
        <v>1000</v>
      </c>
      <c r="M8" s="31">
        <f t="shared" si="4"/>
        <v>1500</v>
      </c>
      <c r="N8" s="31">
        <f t="shared" si="4"/>
        <v>1650.0000000000002</v>
      </c>
      <c r="O8" s="31">
        <f t="shared" si="4"/>
        <v>1815.0000000000005</v>
      </c>
      <c r="P8" s="31">
        <f t="shared" si="4"/>
        <v>1905.7500000000005</v>
      </c>
      <c r="Q8" s="31">
        <f t="shared" si="4"/>
        <v>2001.0375000000006</v>
      </c>
      <c r="R8" s="31">
        <f t="shared" si="4"/>
        <v>2041.0582500000007</v>
      </c>
      <c r="S8" s="31">
        <f t="shared" si="4"/>
        <v>2081.8794150000008</v>
      </c>
    </row>
    <row r="9" spans="1:19" x14ac:dyDescent="0.25">
      <c r="B9" s="8" t="s">
        <v>91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1">
        <v>0</v>
      </c>
      <c r="I9" s="31">
        <f t="shared" si="1"/>
        <v>0</v>
      </c>
      <c r="J9" s="31">
        <v>250</v>
      </c>
      <c r="K9" s="31">
        <f>J9*(1+K19)</f>
        <v>18511.904761904763</v>
      </c>
      <c r="L9" s="31">
        <f t="shared" ref="L9:S9" si="5">K9*(1+L19)</f>
        <v>36848.072562358284</v>
      </c>
      <c r="M9" s="31">
        <f t="shared" si="5"/>
        <v>58956.916099773254</v>
      </c>
      <c r="N9" s="31">
        <f t="shared" si="5"/>
        <v>64852.607709750584</v>
      </c>
      <c r="O9" s="31">
        <f t="shared" si="5"/>
        <v>71337.86848072565</v>
      </c>
      <c r="P9" s="31">
        <f t="shared" si="5"/>
        <v>74904.761904761937</v>
      </c>
      <c r="Q9" s="31">
        <f t="shared" si="5"/>
        <v>78650.000000000044</v>
      </c>
      <c r="R9" s="31">
        <f t="shared" si="5"/>
        <v>80223.000000000044</v>
      </c>
      <c r="S9" s="31">
        <f t="shared" si="5"/>
        <v>81827.46000000005</v>
      </c>
    </row>
    <row r="10" spans="1:19" x14ac:dyDescent="0.25">
      <c r="B10" s="8" t="s">
        <v>88</v>
      </c>
      <c r="C10" s="30">
        <v>0</v>
      </c>
      <c r="D10" s="30">
        <v>0</v>
      </c>
      <c r="E10" s="30">
        <v>0</v>
      </c>
      <c r="F10" s="30">
        <v>0</v>
      </c>
      <c r="G10" s="30">
        <v>0</v>
      </c>
      <c r="H10" s="31">
        <v>0</v>
      </c>
      <c r="I10" s="31">
        <f t="shared" si="1"/>
        <v>0</v>
      </c>
      <c r="J10" s="31">
        <v>250</v>
      </c>
      <c r="K10" s="31">
        <f>J10*(1+K20)</f>
        <v>18511.904761904763</v>
      </c>
      <c r="L10" s="31">
        <f t="shared" ref="L10:S10" si="6">K10*(1+L20)</f>
        <v>36848.072562358284</v>
      </c>
      <c r="M10" s="31">
        <f t="shared" si="6"/>
        <v>58956.916099773254</v>
      </c>
      <c r="N10" s="31">
        <f t="shared" si="6"/>
        <v>64852.607709750584</v>
      </c>
      <c r="O10" s="31">
        <f t="shared" si="6"/>
        <v>71337.86848072565</v>
      </c>
      <c r="P10" s="31">
        <f t="shared" si="6"/>
        <v>74904.761904761937</v>
      </c>
      <c r="Q10" s="31">
        <f t="shared" si="6"/>
        <v>78650.000000000044</v>
      </c>
      <c r="R10" s="31">
        <f t="shared" si="6"/>
        <v>80223.000000000044</v>
      </c>
      <c r="S10" s="31">
        <f t="shared" si="6"/>
        <v>81827.46000000005</v>
      </c>
    </row>
    <row r="11" spans="1:19" ht="12.6" thickBot="1" x14ac:dyDescent="0.3">
      <c r="B11" s="60" t="s">
        <v>68</v>
      </c>
      <c r="C11" s="61">
        <f>SUM(C5:C10)</f>
        <v>33600</v>
      </c>
      <c r="D11" s="61">
        <f t="shared" ref="D11:S11" si="7">SUM(D5:D10)</f>
        <v>50580</v>
      </c>
      <c r="E11" s="61">
        <f t="shared" si="7"/>
        <v>76230</v>
      </c>
      <c r="F11" s="61">
        <f t="shared" si="7"/>
        <v>103076</v>
      </c>
      <c r="G11" s="61">
        <f t="shared" si="7"/>
        <v>70720</v>
      </c>
      <c r="H11" s="61">
        <f t="shared" si="7"/>
        <v>159900</v>
      </c>
      <c r="I11" s="61">
        <f t="shared" si="7"/>
        <v>230620</v>
      </c>
      <c r="J11" s="61">
        <f t="shared" si="7"/>
        <v>364264</v>
      </c>
      <c r="K11" s="61">
        <f t="shared" si="7"/>
        <v>688183.80952380947</v>
      </c>
      <c r="L11" s="61">
        <f t="shared" si="7"/>
        <v>898416.94512471673</v>
      </c>
      <c r="M11" s="61">
        <f t="shared" si="7"/>
        <v>1147017.0481995465</v>
      </c>
      <c r="N11" s="61">
        <f t="shared" si="7"/>
        <v>1227891.2957395012</v>
      </c>
      <c r="O11" s="61">
        <f t="shared" si="7"/>
        <v>1315421.3788878517</v>
      </c>
      <c r="P11" s="61">
        <f t="shared" si="7"/>
        <v>1361165.3285744521</v>
      </c>
      <c r="Q11" s="61">
        <f t="shared" si="7"/>
        <v>1408795.9333602269</v>
      </c>
      <c r="R11" s="61">
        <f t="shared" si="7"/>
        <v>1436971.8520274314</v>
      </c>
      <c r="S11" s="61">
        <f t="shared" si="7"/>
        <v>1465711.2890679801</v>
      </c>
    </row>
    <row r="12" spans="1:19" ht="3" customHeight="1" x14ac:dyDescent="0.25"/>
    <row r="13" spans="1:19" x14ac:dyDescent="0.25">
      <c r="B13" s="48" t="s">
        <v>104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</row>
    <row r="14" spans="1:19" ht="3" customHeight="1" x14ac:dyDescent="0.25"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</row>
    <row r="15" spans="1:19" x14ac:dyDescent="0.25">
      <c r="B15" s="49" t="s">
        <v>89</v>
      </c>
      <c r="C15" s="52" t="s">
        <v>65</v>
      </c>
      <c r="D15" s="52" t="s">
        <v>65</v>
      </c>
      <c r="E15" s="52" t="s">
        <v>65</v>
      </c>
      <c r="F15" s="52" t="s">
        <v>65</v>
      </c>
      <c r="G15" s="49"/>
      <c r="H15" s="49"/>
      <c r="I15" s="51">
        <f>(I5/F5-1)</f>
        <v>73.047619047619051</v>
      </c>
      <c r="J15" s="51">
        <f>J5/I5-1</f>
        <v>0.99050681365793913</v>
      </c>
      <c r="K15" s="51">
        <f>K5/J5-1</f>
        <v>0.60000000000000009</v>
      </c>
      <c r="L15" s="51">
        <f>$C$25</f>
        <v>0.1</v>
      </c>
      <c r="M15" s="51">
        <f>$C$25</f>
        <v>0.1</v>
      </c>
      <c r="N15" s="51">
        <f>$C$26</f>
        <v>0.05</v>
      </c>
      <c r="O15" s="51">
        <f>$C$26</f>
        <v>0.05</v>
      </c>
      <c r="P15" s="51">
        <f>$C$27</f>
        <v>0.02</v>
      </c>
      <c r="Q15" s="51">
        <f t="shared" ref="Q15:S16" si="8">$C$27</f>
        <v>0.02</v>
      </c>
      <c r="R15" s="51">
        <f t="shared" si="8"/>
        <v>0.02</v>
      </c>
      <c r="S15" s="51">
        <f t="shared" si="8"/>
        <v>0.02</v>
      </c>
    </row>
    <row r="16" spans="1:19" x14ac:dyDescent="0.25">
      <c r="B16" s="49" t="s">
        <v>95</v>
      </c>
      <c r="C16" s="52" t="s">
        <v>65</v>
      </c>
      <c r="D16" s="36">
        <f>D6/C6-1</f>
        <v>0.50535714285714284</v>
      </c>
      <c r="E16" s="36">
        <f>E6/D6-1</f>
        <v>0.50711743772241991</v>
      </c>
      <c r="F16" s="36">
        <f>F6/E6-1</f>
        <v>0.32903056539420183</v>
      </c>
      <c r="G16" s="49"/>
      <c r="H16" s="49"/>
      <c r="I16" s="51">
        <f>(I6/F6-1)</f>
        <v>-1.2950094756790875E-2</v>
      </c>
      <c r="J16" s="54">
        <f>$C$27</f>
        <v>0.02</v>
      </c>
      <c r="K16" s="54">
        <f t="shared" ref="K16:P16" si="9">$C$27</f>
        <v>0.02</v>
      </c>
      <c r="L16" s="54">
        <f t="shared" si="9"/>
        <v>0.02</v>
      </c>
      <c r="M16" s="54">
        <f t="shared" si="9"/>
        <v>0.02</v>
      </c>
      <c r="N16" s="54">
        <f t="shared" si="9"/>
        <v>0.02</v>
      </c>
      <c r="O16" s="54">
        <f t="shared" si="9"/>
        <v>0.02</v>
      </c>
      <c r="P16" s="54">
        <f t="shared" si="9"/>
        <v>0.02</v>
      </c>
      <c r="Q16" s="54">
        <f t="shared" si="8"/>
        <v>0.02</v>
      </c>
      <c r="R16" s="54">
        <f t="shared" si="8"/>
        <v>0.02</v>
      </c>
      <c r="S16" s="54">
        <f t="shared" si="8"/>
        <v>0.02</v>
      </c>
    </row>
    <row r="17" spans="2:19" x14ac:dyDescent="0.25">
      <c r="B17" s="49" t="s">
        <v>90</v>
      </c>
      <c r="C17" s="52" t="s">
        <v>65</v>
      </c>
      <c r="D17" s="52" t="s">
        <v>65</v>
      </c>
      <c r="E17" s="52" t="s">
        <v>65</v>
      </c>
      <c r="F17" s="52" t="s">
        <v>65</v>
      </c>
      <c r="G17" s="49"/>
      <c r="H17" s="49"/>
      <c r="I17" s="51" t="s">
        <v>65</v>
      </c>
      <c r="J17" s="51" t="s">
        <v>65</v>
      </c>
      <c r="K17" s="54">
        <f>I15</f>
        <v>73.047619047619051</v>
      </c>
      <c r="L17" s="54">
        <f t="shared" ref="L17:M17" si="10">J15</f>
        <v>0.99050681365793913</v>
      </c>
      <c r="M17" s="54">
        <f t="shared" si="10"/>
        <v>0.60000000000000009</v>
      </c>
      <c r="N17" s="54">
        <f>$C$25</f>
        <v>0.1</v>
      </c>
      <c r="O17" s="54">
        <f>$C$25</f>
        <v>0.1</v>
      </c>
      <c r="P17" s="54">
        <f t="shared" ref="P17:Q20" si="11">$C$26</f>
        <v>0.05</v>
      </c>
      <c r="Q17" s="54">
        <f t="shared" si="11"/>
        <v>0.05</v>
      </c>
      <c r="R17" s="54">
        <f t="shared" ref="R17:S20" si="12">$C$27</f>
        <v>0.02</v>
      </c>
      <c r="S17" s="54">
        <f t="shared" si="12"/>
        <v>0.02</v>
      </c>
    </row>
    <row r="18" spans="2:19" x14ac:dyDescent="0.25">
      <c r="B18" s="49" t="s">
        <v>92</v>
      </c>
      <c r="C18" s="52" t="s">
        <v>65</v>
      </c>
      <c r="D18" s="52" t="s">
        <v>65</v>
      </c>
      <c r="E18" s="52" t="s">
        <v>65</v>
      </c>
      <c r="F18" s="52" t="s">
        <v>65</v>
      </c>
      <c r="G18" s="49"/>
      <c r="H18" s="49"/>
      <c r="I18" s="51" t="s">
        <v>65</v>
      </c>
      <c r="J18" s="51" t="s">
        <v>65</v>
      </c>
      <c r="K18" s="51" t="s">
        <v>65</v>
      </c>
      <c r="L18" s="54">
        <v>1</v>
      </c>
      <c r="M18" s="54">
        <v>0.5</v>
      </c>
      <c r="N18" s="54">
        <f>$C$25</f>
        <v>0.1</v>
      </c>
      <c r="O18" s="54">
        <f>$C$25</f>
        <v>0.1</v>
      </c>
      <c r="P18" s="54">
        <f t="shared" si="11"/>
        <v>0.05</v>
      </c>
      <c r="Q18" s="54">
        <f t="shared" si="11"/>
        <v>0.05</v>
      </c>
      <c r="R18" s="54">
        <f t="shared" si="12"/>
        <v>0.02</v>
      </c>
      <c r="S18" s="54">
        <f t="shared" si="12"/>
        <v>0.02</v>
      </c>
    </row>
    <row r="19" spans="2:19" x14ac:dyDescent="0.25">
      <c r="B19" s="49" t="s">
        <v>91</v>
      </c>
      <c r="C19" s="52" t="s">
        <v>65</v>
      </c>
      <c r="D19" s="52" t="s">
        <v>65</v>
      </c>
      <c r="E19" s="52" t="s">
        <v>65</v>
      </c>
      <c r="F19" s="52" t="s">
        <v>65</v>
      </c>
      <c r="G19" s="49"/>
      <c r="H19" s="49"/>
      <c r="I19" s="51" t="s">
        <v>65</v>
      </c>
      <c r="J19" s="51" t="s">
        <v>65</v>
      </c>
      <c r="K19" s="54">
        <f>I15</f>
        <v>73.047619047619051</v>
      </c>
      <c r="L19" s="54">
        <f t="shared" ref="L19:N19" si="13">J15</f>
        <v>0.99050681365793913</v>
      </c>
      <c r="M19" s="54">
        <f t="shared" si="13"/>
        <v>0.60000000000000009</v>
      </c>
      <c r="N19" s="54">
        <f t="shared" si="13"/>
        <v>0.1</v>
      </c>
      <c r="O19" s="54">
        <f>$C$25</f>
        <v>0.1</v>
      </c>
      <c r="P19" s="54">
        <f t="shared" si="11"/>
        <v>0.05</v>
      </c>
      <c r="Q19" s="54">
        <f t="shared" si="11"/>
        <v>0.05</v>
      </c>
      <c r="R19" s="54">
        <f t="shared" si="12"/>
        <v>0.02</v>
      </c>
      <c r="S19" s="54">
        <f t="shared" si="12"/>
        <v>0.02</v>
      </c>
    </row>
    <row r="20" spans="2:19" x14ac:dyDescent="0.25">
      <c r="B20" s="49" t="s">
        <v>88</v>
      </c>
      <c r="C20" s="52" t="s">
        <v>65</v>
      </c>
      <c r="D20" s="52" t="s">
        <v>65</v>
      </c>
      <c r="E20" s="52" t="s">
        <v>65</v>
      </c>
      <c r="F20" s="52" t="s">
        <v>65</v>
      </c>
      <c r="G20" s="49"/>
      <c r="H20" s="49"/>
      <c r="I20" s="51" t="s">
        <v>65</v>
      </c>
      <c r="J20" s="51" t="s">
        <v>65</v>
      </c>
      <c r="K20" s="54">
        <v>73.047619047619051</v>
      </c>
      <c r="L20" s="54">
        <v>0.99050681365793913</v>
      </c>
      <c r="M20" s="54">
        <v>0.60000000000000009</v>
      </c>
      <c r="N20" s="54">
        <f>$C$25</f>
        <v>0.1</v>
      </c>
      <c r="O20" s="54">
        <f>$C$25</f>
        <v>0.1</v>
      </c>
      <c r="P20" s="54">
        <f t="shared" si="11"/>
        <v>0.05</v>
      </c>
      <c r="Q20" s="54">
        <f t="shared" si="11"/>
        <v>0.05</v>
      </c>
      <c r="R20" s="54">
        <f t="shared" si="12"/>
        <v>0.02</v>
      </c>
      <c r="S20" s="54">
        <f t="shared" si="12"/>
        <v>0.02</v>
      </c>
    </row>
    <row r="21" spans="2:19" x14ac:dyDescent="0.25">
      <c r="B21" s="49"/>
      <c r="C21" s="52"/>
      <c r="D21" s="52"/>
      <c r="E21" s="52"/>
      <c r="F21" s="52"/>
      <c r="G21" s="49"/>
      <c r="H21" s="49"/>
      <c r="I21" s="52"/>
      <c r="J21" s="52"/>
      <c r="K21" s="50"/>
      <c r="L21" s="50"/>
      <c r="M21" s="50"/>
      <c r="N21" s="50"/>
      <c r="O21" s="50"/>
      <c r="P21" s="50"/>
      <c r="Q21" s="50"/>
      <c r="R21" s="50"/>
      <c r="S21" s="50"/>
    </row>
    <row r="24" spans="2:19" x14ac:dyDescent="0.25">
      <c r="B24" s="8" t="s">
        <v>131</v>
      </c>
    </row>
    <row r="25" spans="2:19" x14ac:dyDescent="0.25">
      <c r="B25" s="8" t="s">
        <v>132</v>
      </c>
      <c r="C25" s="16">
        <v>0.1</v>
      </c>
    </row>
    <row r="26" spans="2:19" x14ac:dyDescent="0.25">
      <c r="B26" s="8" t="s">
        <v>132</v>
      </c>
      <c r="C26" s="16">
        <v>0.05</v>
      </c>
    </row>
    <row r="27" spans="2:19" x14ac:dyDescent="0.25">
      <c r="B27" s="8" t="s">
        <v>133</v>
      </c>
      <c r="C27" s="16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2018-11-09T13:20:23Z</dcterms:modified>
</cp:coreProperties>
</file>