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8_{1920169A-3CD4-4618-B527-E0EC9BD23885}" xr6:coauthVersionLast="37" xr6:coauthVersionMax="37" xr10:uidLastSave="{00000000-0000-0000-0000-000000000000}"/>
  <bookViews>
    <workbookView xWindow="0" yWindow="0" windowWidth="20496" windowHeight="8112" firstSheet="20" activeTab="22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6" i="167" l="1"/>
  <c r="H10" i="167"/>
  <c r="H20" i="167"/>
  <c r="H14" i="167"/>
  <c r="H17" i="167"/>
  <c r="S7" i="167"/>
  <c r="R7" i="167"/>
  <c r="Q7" i="167"/>
  <c r="P7" i="167"/>
  <c r="O7" i="167"/>
  <c r="N7" i="167"/>
  <c r="M7" i="167"/>
  <c r="L7" i="167"/>
  <c r="K7" i="167"/>
  <c r="J7" i="167"/>
  <c r="S6" i="167"/>
  <c r="R6" i="167"/>
  <c r="Q6" i="167"/>
  <c r="P6" i="167"/>
  <c r="O6" i="167"/>
  <c r="N6" i="167"/>
  <c r="M6" i="167"/>
  <c r="L6" i="167"/>
  <c r="K6" i="167"/>
  <c r="J6" i="167"/>
  <c r="S10" i="167"/>
  <c r="R10" i="167"/>
  <c r="Q10" i="167"/>
  <c r="P10" i="167"/>
  <c r="O10" i="167"/>
  <c r="N10" i="167"/>
  <c r="M10" i="167"/>
  <c r="L10" i="167"/>
  <c r="K10" i="167"/>
  <c r="J10" i="167"/>
  <c r="S20" i="167"/>
  <c r="R20" i="167"/>
  <c r="Q20" i="167"/>
  <c r="P20" i="167"/>
  <c r="O20" i="167"/>
  <c r="N20" i="167"/>
  <c r="M20" i="167"/>
  <c r="L20" i="167"/>
  <c r="K20" i="167"/>
  <c r="J20" i="167"/>
  <c r="S14" i="167"/>
  <c r="R14" i="167"/>
  <c r="Q14" i="167"/>
  <c r="P14" i="167"/>
  <c r="O14" i="167"/>
  <c r="N14" i="167"/>
  <c r="M14" i="167"/>
  <c r="L14" i="167"/>
  <c r="K14" i="167"/>
  <c r="J14" i="167"/>
  <c r="S17" i="167"/>
  <c r="R17" i="167"/>
  <c r="Q17" i="167"/>
  <c r="P17" i="167"/>
  <c r="O17" i="167"/>
  <c r="N17" i="167"/>
  <c r="M17" i="167"/>
  <c r="L17" i="167"/>
  <c r="K17" i="167"/>
  <c r="J17" i="167"/>
  <c r="S5" i="167"/>
  <c r="R5" i="167"/>
  <c r="Q5" i="167"/>
  <c r="P5" i="167"/>
  <c r="O5" i="167"/>
  <c r="N5" i="167"/>
  <c r="M5" i="167"/>
  <c r="L5" i="167"/>
  <c r="K5" i="167"/>
  <c r="J5" i="167"/>
  <c r="I5" i="167" l="1"/>
  <c r="H5" i="167"/>
  <c r="H7" i="167" s="1"/>
  <c r="I7" i="167" s="1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8" i="206"/>
  <c r="F8" i="206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F7" i="167"/>
  <c r="E7" i="167"/>
  <c r="D7" i="167"/>
  <c r="C7" i="167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F9" i="191"/>
  <c r="F19" i="191" s="1"/>
  <c r="I5" i="191"/>
  <c r="I7" i="191" s="1"/>
  <c r="G7" i="206"/>
  <c r="G9" i="206" s="1"/>
  <c r="F7" i="206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E5" i="167"/>
  <c r="E6" i="167" s="1"/>
  <c r="N15" i="192"/>
  <c r="N12" i="192"/>
  <c r="I15" i="192"/>
  <c r="I12" i="192"/>
  <c r="I9" i="192" s="1"/>
  <c r="I9" i="206" s="1"/>
  <c r="H9" i="206" s="1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11" i="186"/>
  <c r="I11" i="186" s="1"/>
  <c r="I5" i="212" s="1"/>
  <c r="Q5" i="186" l="1"/>
  <c r="L9" i="191"/>
  <c r="L9" i="192" s="1"/>
  <c r="L9" i="206" s="1"/>
  <c r="M7" i="191"/>
  <c r="S5" i="180"/>
  <c r="R5" i="182"/>
  <c r="G6" i="167"/>
  <c r="M9" i="191" l="1"/>
  <c r="M9" i="192" s="1"/>
  <c r="M9" i="206" s="1"/>
  <c r="N7" i="191"/>
  <c r="R5" i="186"/>
  <c r="Q5" i="193"/>
  <c r="S5" i="182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N9" i="192" s="1"/>
  <c r="N9" i="206" s="1"/>
  <c r="O7" i="191"/>
  <c r="G30" i="154"/>
  <c r="G33" i="154" s="1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Q9" i="192" l="1"/>
  <c r="Q9" i="206" s="1"/>
  <c r="S7" i="191"/>
  <c r="S9" i="191" s="1"/>
  <c r="R9" i="191"/>
  <c r="R9" i="192" l="1"/>
  <c r="R9" i="206" s="1"/>
  <c r="S9" i="192"/>
  <c r="S9" i="206" s="1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S6" i="180" l="1"/>
  <c r="R6" i="182"/>
  <c r="R11" i="180"/>
  <c r="P4" i="212"/>
  <c r="O6" i="212"/>
  <c r="P6" i="193"/>
  <c r="P11" i="193" s="1"/>
  <c r="P11" i="186"/>
  <c r="P5" i="212" s="1"/>
  <c r="Q6" i="186"/>
  <c r="Q11" i="182"/>
  <c r="P6" i="212" l="1"/>
  <c r="Q4" i="212"/>
  <c r="R6" i="186"/>
  <c r="R11" i="182"/>
  <c r="Q6" i="193"/>
  <c r="Q11" i="193" s="1"/>
  <c r="Q11" i="186"/>
  <c r="Q5" i="212" s="1"/>
  <c r="S6" i="182"/>
  <c r="S11" i="180"/>
  <c r="Q6" i="212" l="1"/>
  <c r="R6" i="193"/>
  <c r="R11" i="193" s="1"/>
  <c r="R11" i="186"/>
  <c r="R5" i="212" s="1"/>
  <c r="R6" i="212" s="1"/>
  <c r="R4" i="212"/>
  <c r="S6" i="186"/>
  <c r="S11" i="182"/>
  <c r="S4" i="212" l="1"/>
  <c r="S6" i="193"/>
  <c r="S11" i="193" s="1"/>
  <c r="S11" i="186"/>
  <c r="S5" i="212" s="1"/>
  <c r="S6" i="2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<sst xmlns="http://schemas.openxmlformats.org/spreadsheetml/2006/main" count="707" uniqueCount="194">
  <si>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</si>
  <si>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</si>
  <si>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</si>
  <si>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</si>
  <si>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</si>
  <si>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</si>
  <si>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</si>
  <si>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</si>
  <si>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</si>
  <si>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</si>
  <si>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</si>
  <si>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</si>
  <si>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</si>
  <si>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</si>
  <si>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</si>
  <si>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</si>
  <si>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</si>
  <si>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</si>
  <si>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</si>
  <si>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</si>
  <si>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</si>
  <si>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</si>
  <si>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</si>
  <si>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</si>
  <si>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</si>
  <si>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</si>
  <si>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</si>
  <si>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</si>
  <si>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</si>
  <si>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</si>
  <si>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</si>
  <si>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</si>
  <si>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</si>
  <si>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</si>
  <si>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</si>
  <si>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</si>
  <si>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</si>
  <si>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</si>
  <si>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</si>
  <si>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</si>
  <si>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</si>
  <si>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</si>
  <si>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</si>
  <si>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</si>
  <si>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</si>
  <si>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</si>
  <si>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</si>
  <si>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</si>
  <si>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</si>
  <si>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</si>
  <si>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</si>
  <si>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</si>
  <si>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</si>
  <si>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</si>
  <si>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</si>
  <si>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</si>
  <si>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</si>
  <si>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</si>
  <si>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</si>
  <si>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</si>
  <si>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</si>
  <si>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</si>
  <si>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</si>
  <si>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</si>
  <si>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</si>
  <si>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</si>
  <si>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</si>
  <si>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</si>
  <si>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</si>
  <si>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</si>
  <si>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</si>
  <si>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</si>
  <si>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</si>
  <si>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</si>
  <si>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</si>
  <si>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</si>
  <si>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</si>
  <si>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</si>
  <si>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</si>
  <si>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Workings  --&gt;</t>
  </si>
  <si>
    <t>Revenues</t>
  </si>
  <si>
    <t>Operating expenses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</si>
  <si>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</si>
  <si>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</si>
  <si>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</si>
  <si>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</si>
  <si>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</si>
  <si>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</si>
  <si>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</si>
  <si>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</si>
  <si>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</si>
  <si>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</si>
  <si>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</si>
  <si>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</si>
  <si>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</si>
  <si>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</si>
  <si>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</si>
  <si>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</si>
  <si>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</si>
  <si>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</si>
  <si>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</si>
  <si>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</si>
  <si>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</si>
  <si>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</si>
  <si>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</si>
  <si>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</si>
  <si>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</si>
  <si>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</si>
  <si>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</si>
  <si>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</si>
  <si>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</si>
  <si>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</si>
  <si>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</si>
  <si>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</si>
  <si>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</si>
  <si>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</si>
  <si>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</si>
  <si>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</si>
  <si>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</si>
  <si>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</si>
  <si>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</si>
  <si>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</si>
  <si>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</si>
  <si>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</si>
  <si>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</si>
  <si>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</si>
  <si>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</si>
  <si>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</si>
  <si>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</si>
  <si>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</si>
  <si>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</si>
  <si>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</si>
  <si>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</si>
  <si>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</si>
  <si>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</si>
  <si>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</si>
  <si>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</si>
  <si>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</si>
  <si>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</si>
  <si>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</si>
  <si>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</si>
  <si>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</si>
  <si>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</si>
  <si>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</si>
  <si>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</si>
  <si>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</si>
  <si>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</si>
  <si>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</si>
  <si>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</si>
  <si>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</si>
  <si>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</si>
  <si>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</si>
  <si>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</si>
  <si>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</si>
  <si>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</si>
  <si>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</si>
  <si>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</si>
  <si>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Energy &amp; Other</t>
  </si>
  <si>
    <t>Opex comparables</t>
  </si>
  <si>
    <t>Cost of sales Energy &amp; Other</t>
  </si>
  <si>
    <t>Revenue Energy &amp; Other</t>
  </si>
  <si>
    <t>Income Statement items</t>
  </si>
  <si>
    <t>($ in million)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</si>
  <si>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</si>
  <si>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</si>
  <si>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</si>
  <si>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</si>
  <si>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</si>
  <si>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</si>
  <si>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</si>
  <si>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</si>
  <si>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</si>
  <si>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</si>
  <si>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Revenue and Gross Profit automotive</t>
  </si>
  <si>
    <t>Revenue automotive</t>
  </si>
  <si>
    <t>Gross Profit automotive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</si>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</sst>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6" formatCode="_(* #,##0_);_(* \(#,##0\);_(* &quot;-&quot;??_);_(@_)"/>
    <numFmt numFmtId="167" formatCode="0.0%"/>
    <numFmt numFmtId="174" formatCode="_(* #,##0_);_(* \(#,##0\);_(* &quot;-&quot;?_);@_)"/>
  </numFmts>
  <fonts count="22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90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7" fontId="4" fillId="2" borderId="0" xfId="2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6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6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6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6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6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6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6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6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6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6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6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6" borderId="1" xfId="0" applyNumberFormat="1" applyFont="1" applyFill="1" applyBorder="1">
      <alignment vertical="top"/>
    </xf>
    <xf numFmtId="0" fontId="19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6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166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74" fontId="4" fillId="2" borderId="0" xfId="0" applyNumberFormat="1" applyFont="1" applyFill="1" applyBorder="1" applyAlignment="1">
      <alignment horizontal="right" vertical="center"/>
    </xf>
    <xf numFmtId="166" fontId="3" fillId="2" borderId="1" xfId="1" applyNumberFormat="1" applyFont="1" applyFill="1" applyBorder="1">
      <alignment vertical="top"/>
    </xf>
    <xf numFmtId="174" fontId="9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0" fillId="2" borderId="0" xfId="2" applyFont="1" applyFill="1">
      <alignment vertical="top"/>
    </xf>
    <xf numFmtId="0" fontId="21" fillId="2" borderId="0" xfId="0" applyFont="1" applyFill="1">
      <alignment vertical="top"/>
    </xf>
    <xf numFmtId="9" fontId="20" fillId="6" borderId="0" xfId="0" applyNumberFormat="1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115</v>
      </c>
      <c r="C9" s="60"/>
    </row>
    <row r="10" spans="2:3" ht="50.4" x14ac:dyDescent="0.25">
      <c r="B10" s="11" t="s">
        <v>116</v>
      </c>
      <c r="C10" s="6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171</v>
      </c>
    </row>
    <row r="2" spans="1:6" ht="15.6" x14ac:dyDescent="0.25">
      <c r="A2" s="1"/>
      <c r="B2" s="2"/>
    </row>
    <row r="3" spans="1:6" x14ac:dyDescent="0.25">
      <c r="B3" s="86" t="s">
        <v>119</v>
      </c>
    </row>
    <row r="5" spans="1:6" x14ac:dyDescent="0.25">
      <c r="F5" s="8" t="s">
        <v>121</v>
      </c>
    </row>
    <row r="6" spans="1:6" ht="12" x14ac:dyDescent="0.25">
      <c r="B6" s="20" t="s">
        <v>91</v>
      </c>
      <c r="C6" s="21" t="s">
        <v>118</v>
      </c>
      <c r="D6" s="21" t="s">
        <v>154</v>
      </c>
    </row>
    <row r="7" spans="1:6" x14ac:dyDescent="0.25">
      <c r="B7" s="8" t="s">
        <v>143</v>
      </c>
      <c r="C7" s="13">
        <v>9600340</v>
      </c>
      <c r="D7" s="13">
        <v>9600340</v>
      </c>
    </row>
    <row r="8" spans="1:6" x14ac:dyDescent="0.25">
      <c r="B8" s="8" t="s">
        <v>144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145</v>
      </c>
      <c r="C9" s="13">
        <v>4740000</v>
      </c>
      <c r="D9" s="13">
        <v>4740000</v>
      </c>
    </row>
    <row r="10" spans="1:6" x14ac:dyDescent="0.25">
      <c r="B10" s="8" t="s">
        <v>146</v>
      </c>
      <c r="C10" s="13">
        <v>2460000</v>
      </c>
      <c r="D10" s="13">
        <v>2460000</v>
      </c>
    </row>
    <row r="11" spans="1:6" x14ac:dyDescent="0.25">
      <c r="B11" s="8" t="s">
        <v>147</v>
      </c>
      <c r="C11" s="13">
        <v>10700000</v>
      </c>
      <c r="D11" s="13">
        <v>10700000</v>
      </c>
    </row>
    <row r="12" spans="1:6" x14ac:dyDescent="0.25">
      <c r="B12" s="77" t="s">
        <v>148</v>
      </c>
      <c r="C12" s="82" t="s">
        <v>65</v>
      </c>
      <c r="D12" s="82" t="s">
        <v>65</v>
      </c>
    </row>
    <row r="13" spans="1:6" x14ac:dyDescent="0.25">
      <c r="B13" s="77" t="s">
        <v>149</v>
      </c>
      <c r="C13" s="82" t="s">
        <v>65</v>
      </c>
      <c r="D13" s="82" t="s">
        <v>65</v>
      </c>
    </row>
    <row r="14" spans="1:6" x14ac:dyDescent="0.25">
      <c r="B14" s="77" t="s">
        <v>150</v>
      </c>
      <c r="C14" s="82" t="s">
        <v>65</v>
      </c>
      <c r="D14" s="82" t="s">
        <v>65</v>
      </c>
    </row>
    <row r="15" spans="1:6" x14ac:dyDescent="0.25">
      <c r="B15" s="77" t="s">
        <v>151</v>
      </c>
      <c r="C15" s="82" t="s">
        <v>65</v>
      </c>
      <c r="D15" s="82" t="s">
        <v>65</v>
      </c>
    </row>
    <row r="16" spans="1:6" x14ac:dyDescent="0.25">
      <c r="B16" s="77" t="s">
        <v>152</v>
      </c>
      <c r="C16" s="82" t="s">
        <v>65</v>
      </c>
      <c r="D16" s="82" t="s">
        <v>65</v>
      </c>
    </row>
    <row r="17" spans="2:4" x14ac:dyDescent="0.25">
      <c r="B17" s="77" t="s">
        <v>153</v>
      </c>
      <c r="C17" s="82" t="s">
        <v>65</v>
      </c>
      <c r="D17" s="82" t="s">
        <v>65</v>
      </c>
    </row>
    <row r="18" spans="2:4" ht="12" x14ac:dyDescent="0.25">
      <c r="B18" s="9" t="s">
        <v>118</v>
      </c>
      <c r="C18" s="84" t="s">
        <v>65</v>
      </c>
      <c r="D18" s="79">
        <f>AVERAGE(D7:D17)</f>
        <v>6821468</v>
      </c>
    </row>
    <row r="19" spans="2:4" x14ac:dyDescent="0.25">
      <c r="C19" s="83"/>
      <c r="D19" s="83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132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89" t="s">
        <v>136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20" ht="24" x14ac:dyDescent="0.25">
      <c r="B4" s="20" t="s">
        <v>91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  <c r="T4" s="21" t="s">
        <v>98</v>
      </c>
    </row>
    <row r="5" spans="1:20" ht="13.2" customHeight="1" x14ac:dyDescent="0.25">
      <c r="B5" s="8" t="s">
        <v>94</v>
      </c>
      <c r="C5" s="48"/>
      <c r="D5" s="48"/>
      <c r="E5" s="48"/>
      <c r="F5" s="78" t="s">
        <v>65</v>
      </c>
      <c r="G5" s="78" t="s">
        <v>65</v>
      </c>
      <c r="H5" s="49">
        <f>($T5*Deliveries!H5)/1000000</f>
        <v>4368</v>
      </c>
      <c r="I5" s="49">
        <f>($T5*Deliveries!I5)*I14/1000000</f>
        <v>5486.04</v>
      </c>
      <c r="J5" s="49">
        <f>($T5*Deliveries!J5)*J14/1000000</f>
        <v>10920</v>
      </c>
      <c r="K5" s="49">
        <f>($T5*Deliveries!K5)*K14/1000000</f>
        <v>17472</v>
      </c>
      <c r="L5" s="49">
        <f>($T5*Deliveries!L5)*L14/1000000</f>
        <v>19219.200000000004</v>
      </c>
      <c r="M5" s="49">
        <f>($T5*Deliveries!M5)*M14/1000000</f>
        <v>21141.120000000003</v>
      </c>
      <c r="N5" s="49">
        <f>($T5*Deliveries!N5)*N14/1000000</f>
        <v>22198.176000000003</v>
      </c>
      <c r="O5" s="49">
        <f>($T5*Deliveries!O5)*O14/1000000</f>
        <v>23308.084800000008</v>
      </c>
      <c r="P5" s="49">
        <f>($T5*Deliveries!P5)*P14/1000000</f>
        <v>23774.246496000003</v>
      </c>
      <c r="Q5" s="49">
        <f>($T5*Deliveries!Q5)*Q14/1000000</f>
        <v>24249.731425920007</v>
      </c>
      <c r="R5" s="49">
        <f>($T5*Deliveries!R5)*R14/1000000</f>
        <v>24734.726054438408</v>
      </c>
      <c r="S5" s="49">
        <f>($T5*Deliveries!S5)*S14/1000000</f>
        <v>25229.420575527176</v>
      </c>
      <c r="T5" s="47">
        <v>42000</v>
      </c>
    </row>
    <row r="6" spans="1:20" x14ac:dyDescent="0.25">
      <c r="B6" s="8" t="s">
        <v>100</v>
      </c>
      <c r="C6" s="48">
        <f>'P&amp;L Input'!C4/1000</f>
        <v>3007.0120000000002</v>
      </c>
      <c r="D6" s="48">
        <f>'P&amp;L Input'!D4/1000</f>
        <v>3740.973</v>
      </c>
      <c r="E6" s="48">
        <f>'P&amp;L Input'!E4/1000</f>
        <v>6350.7659999999996</v>
      </c>
      <c r="F6" s="78" t="s">
        <v>65</v>
      </c>
      <c r="G6" s="78" t="s">
        <v>65</v>
      </c>
      <c r="H6" s="49">
        <f>($T6*Deliveries!H6)/1000000</f>
        <v>4891.25</v>
      </c>
      <c r="I6" s="49">
        <f>($T6*Deliveries!I6)*I15/1000000</f>
        <v>8750</v>
      </c>
      <c r="J6" s="49">
        <f>($T6*Deliveries!J6)*J15/1000000</f>
        <v>8925</v>
      </c>
      <c r="K6" s="49">
        <f>($T6*Deliveries!K6)*K15/1000000</f>
        <v>9103.5</v>
      </c>
      <c r="L6" s="49">
        <f>($T6*Deliveries!L6)*L15/1000000</f>
        <v>9285.57</v>
      </c>
      <c r="M6" s="49">
        <f>($T6*Deliveries!M6)*M15/1000000</f>
        <v>9471.2813999999998</v>
      </c>
      <c r="N6" s="49">
        <f>($T6*Deliveries!N6)*N15/1000000</f>
        <v>9660.7070280000007</v>
      </c>
      <c r="O6" s="49">
        <f>($T6*Deliveries!O6)*O15/1000000</f>
        <v>9853.9211685600021</v>
      </c>
      <c r="P6" s="49">
        <f>($T6*Deliveries!P6)*P15/1000000</f>
        <v>10050.9995919312</v>
      </c>
      <c r="Q6" s="49">
        <f>($T6*Deliveries!Q6)*Q15/1000000</f>
        <v>10252.019583769825</v>
      </c>
      <c r="R6" s="49">
        <f>($T6*Deliveries!R6)*R15/1000000</f>
        <v>10457.059975445223</v>
      </c>
      <c r="S6" s="49">
        <f>($T6*Deliveries!S6)*S15/1000000</f>
        <v>10666.201174954127</v>
      </c>
      <c r="T6" s="47">
        <f>(84000+91000)/2</f>
        <v>87500</v>
      </c>
    </row>
    <row r="7" spans="1:20" x14ac:dyDescent="0.25">
      <c r="B7" s="8" t="s">
        <v>95</v>
      </c>
      <c r="C7" s="48">
        <f>($T7*Deliveries!C7)/1000000</f>
        <v>0</v>
      </c>
      <c r="D7" s="48">
        <f>($T7*Deliveries!D7)/1000000</f>
        <v>0</v>
      </c>
      <c r="E7" s="48">
        <f>($T7*Deliveries!E7)/1000000</f>
        <v>0</v>
      </c>
      <c r="F7" s="48">
        <f>($T7*Deliveries!F7)/1000000</f>
        <v>0</v>
      </c>
      <c r="G7" s="48">
        <f>($T7*Deliveries!G7)/1000000</f>
        <v>0</v>
      </c>
      <c r="H7" s="49">
        <f>($T7*Deliveries!H7)/1000000</f>
        <v>0</v>
      </c>
      <c r="I7" s="49">
        <f>($T7*Deliveries!I7)*I16/1000000</f>
        <v>0</v>
      </c>
      <c r="J7" s="49">
        <f>($T7*Deliveries!J7)*J16/1000000</f>
        <v>88.2</v>
      </c>
      <c r="K7" s="49">
        <f>($T7*Deliveries!K7)*K16/1000000</f>
        <v>6531</v>
      </c>
      <c r="L7" s="49">
        <f>($T7*Deliveries!L7)*L16/1000000</f>
        <v>13000</v>
      </c>
      <c r="M7" s="49">
        <f>($T7*Deliveries!M7)*M16/1000000</f>
        <v>20800</v>
      </c>
      <c r="N7" s="49">
        <f>($T7*Deliveries!N7)*N16/1000000</f>
        <v>22880.000000000004</v>
      </c>
      <c r="O7" s="49">
        <f>($T7*Deliveries!O7)*O16/1000000</f>
        <v>25168.000000000007</v>
      </c>
      <c r="P7" s="49">
        <f>($T7*Deliveries!P7)*P16/1000000</f>
        <v>26426.400000000009</v>
      </c>
      <c r="Q7" s="49">
        <f>($T7*Deliveries!Q7)*Q16/1000000</f>
        <v>27747.720000000008</v>
      </c>
      <c r="R7" s="49">
        <f>($T7*Deliveries!R7)*R16/1000000</f>
        <v>28302.674400000007</v>
      </c>
      <c r="S7" s="49">
        <f>($T7*Deliveries!S7)*S16/1000000</f>
        <v>28868.727888000005</v>
      </c>
      <c r="T7" s="47">
        <v>50000</v>
      </c>
    </row>
    <row r="8" spans="1:20" x14ac:dyDescent="0.25">
      <c r="B8" s="8" t="s">
        <v>97</v>
      </c>
      <c r="C8" s="48">
        <f>($T8*Deliveries!C8)/1000000</f>
        <v>0</v>
      </c>
      <c r="D8" s="48">
        <f>($T8*Deliveries!D8)/1000000</f>
        <v>0</v>
      </c>
      <c r="E8" s="48">
        <f>($T8*Deliveries!E8)/1000000</f>
        <v>0</v>
      </c>
      <c r="F8" s="48">
        <f>($T8*Deliveries!F8)/1000000</f>
        <v>0</v>
      </c>
      <c r="G8" s="48">
        <f>($T8*Deliveries!G8)/1000000</f>
        <v>0</v>
      </c>
      <c r="H8" s="49">
        <f>($T8*Deliveries!H8)/1000000</f>
        <v>0</v>
      </c>
      <c r="I8" s="49">
        <f>($T8*Deliveries!I8)*I17/1000000</f>
        <v>0</v>
      </c>
      <c r="J8" s="49">
        <f>($T8*Deliveries!J8)*J17/1000000</f>
        <v>0</v>
      </c>
      <c r="K8" s="49">
        <f>($T8*Deliveries!K8)*K17/1000000</f>
        <v>115</v>
      </c>
      <c r="L8" s="49">
        <f>($T8*Deliveries!L8)*L17/1000000</f>
        <v>230</v>
      </c>
      <c r="M8" s="49">
        <f>($T8*Deliveries!M8)*M17/1000000</f>
        <v>345</v>
      </c>
      <c r="N8" s="49">
        <f>($T8*Deliveries!N8)*N17/1000000</f>
        <v>379.50000000000006</v>
      </c>
      <c r="O8" s="49">
        <f>($T8*Deliveries!O8)*O17/1000000</f>
        <v>417.4500000000001</v>
      </c>
      <c r="P8" s="49">
        <f>($T8*Deliveries!P8)*P17/1000000</f>
        <v>438.3225000000001</v>
      </c>
      <c r="Q8" s="49">
        <f>($T8*Deliveries!Q8)*Q17/1000000</f>
        <v>460.23862500000013</v>
      </c>
      <c r="R8" s="49">
        <f>($T8*Deliveries!R8)*R17/1000000</f>
        <v>469.44339750000017</v>
      </c>
      <c r="S8" s="49">
        <f>($T8*Deliveries!S8)*S17/1000000</f>
        <v>478.83226545000019</v>
      </c>
      <c r="T8" s="47">
        <v>230000</v>
      </c>
    </row>
    <row r="9" spans="1:20" x14ac:dyDescent="0.25">
      <c r="B9" s="8" t="s">
        <v>96</v>
      </c>
      <c r="C9" s="48">
        <f>($T9*Deliveries!C9)/1000000</f>
        <v>0</v>
      </c>
      <c r="D9" s="48">
        <f>($T9*Deliveries!D9)/1000000</f>
        <v>0</v>
      </c>
      <c r="E9" s="48">
        <f>($T9*Deliveries!E9)/1000000</f>
        <v>0</v>
      </c>
      <c r="F9" s="48">
        <f>($T9*Deliveries!F9)/1000000</f>
        <v>0</v>
      </c>
      <c r="G9" s="48">
        <f>($T9*Deliveries!G9)/1000000</f>
        <v>0</v>
      </c>
      <c r="H9" s="49">
        <f>($T9*Deliveries!H9)/1000000</f>
        <v>0</v>
      </c>
      <c r="I9" s="49">
        <f>($T9*Deliveries!I9)*I18/1000000</f>
        <v>0</v>
      </c>
      <c r="J9" s="49">
        <f>($T9*Deliveries!J9)*J18/1000000</f>
        <v>15.75</v>
      </c>
      <c r="K9" s="49">
        <f>($T9*Deliveries!K9)*K18/1000000</f>
        <v>1166.25</v>
      </c>
      <c r="L9" s="49">
        <f>($T9*Deliveries!L9)*L18/1000000</f>
        <v>2321.4285714285716</v>
      </c>
      <c r="M9" s="49">
        <f>($T9*Deliveries!M9)*M18/1000000</f>
        <v>3714.2857142857151</v>
      </c>
      <c r="N9" s="49">
        <f>($T9*Deliveries!N9)*N18/1000000</f>
        <v>4085.7142857142867</v>
      </c>
      <c r="O9" s="49">
        <f>($T9*Deliveries!O9)*O18/1000000</f>
        <v>4494.2857142857165</v>
      </c>
      <c r="P9" s="49">
        <f>($T9*Deliveries!P9)*P18/1000000</f>
        <v>4719.0000000000018</v>
      </c>
      <c r="Q9" s="49">
        <f>($T9*Deliveries!Q9)*Q18/1000000</f>
        <v>4954.9500000000025</v>
      </c>
      <c r="R9" s="49">
        <f>($T9*Deliveries!R9)*R18/1000000</f>
        <v>5054.0490000000027</v>
      </c>
      <c r="S9" s="49">
        <f>($T9*Deliveries!S9)*S18/1000000</f>
        <v>5155.1299800000024</v>
      </c>
      <c r="T9" s="47">
        <v>63000</v>
      </c>
    </row>
    <row r="10" spans="1:20" x14ac:dyDescent="0.25">
      <c r="B10" s="8" t="s">
        <v>93</v>
      </c>
      <c r="C10" s="48">
        <f>($T10*Deliveries!C10)/1000000</f>
        <v>0</v>
      </c>
      <c r="D10" s="48">
        <f>($T10*Deliveries!D10)/1000000</f>
        <v>0</v>
      </c>
      <c r="E10" s="48">
        <f>($T10*Deliveries!E10)/1000000</f>
        <v>0</v>
      </c>
      <c r="F10" s="48">
        <f>($T10*Deliveries!F10)/1000000</f>
        <v>0</v>
      </c>
      <c r="G10" s="48">
        <f>($T10*Deliveries!G10)/1000000</f>
        <v>0</v>
      </c>
      <c r="H10" s="49">
        <f>($T10*Deliveries!H10)/1000000</f>
        <v>0</v>
      </c>
      <c r="I10" s="49">
        <f>($T10*Deliveries!I10)*I19/1000000</f>
        <v>0</v>
      </c>
      <c r="J10" s="49">
        <f>($T10*Deliveries!J10)*J19/1000000</f>
        <v>50</v>
      </c>
      <c r="K10" s="49">
        <f>($T10*Deliveries!K10)*K19/1000000</f>
        <v>3702.3809523809527</v>
      </c>
      <c r="L10" s="49">
        <f>($T10*Deliveries!L10)*L19/1000000</f>
        <v>7369.6145124716568</v>
      </c>
      <c r="M10" s="49">
        <f>($T10*Deliveries!M10)*M19/1000000</f>
        <v>11791.38321995465</v>
      </c>
      <c r="N10" s="49">
        <f>($T10*Deliveries!N10)*N19/1000000</f>
        <v>12970.521541950116</v>
      </c>
      <c r="O10" s="49">
        <f>($T10*Deliveries!O10)*O19/1000000</f>
        <v>14267.573696145129</v>
      </c>
      <c r="P10" s="49">
        <f>($T10*Deliveries!P10)*P19/1000000</f>
        <v>14980.952380952387</v>
      </c>
      <c r="Q10" s="49">
        <f>($T10*Deliveries!Q10)*Q19/1000000</f>
        <v>15730.000000000009</v>
      </c>
      <c r="R10" s="49">
        <f>($T10*Deliveries!R10)*R19/1000000</f>
        <v>16044.600000000009</v>
      </c>
      <c r="S10" s="49">
        <f>($T10*Deliveries!S10)*S19/1000000</f>
        <v>16365.492000000009</v>
      </c>
      <c r="T10" s="47">
        <v>200000</v>
      </c>
    </row>
    <row r="11" spans="1:20" ht="12.6" thickBot="1" x14ac:dyDescent="0.3">
      <c r="B11" s="75" t="s">
        <v>68</v>
      </c>
      <c r="C11" s="76">
        <f>SUM(C5:C10)</f>
        <v>3007.0120000000002</v>
      </c>
      <c r="D11" s="76">
        <f t="shared" ref="D11:N11" si="0">SUM(D5:D10)</f>
        <v>3740.973</v>
      </c>
      <c r="E11" s="76">
        <f t="shared" si="0"/>
        <v>6350.7659999999996</v>
      </c>
      <c r="F11" s="76">
        <f>'P&amp;L Input'!F4/1000</f>
        <v>9641.2999999999993</v>
      </c>
      <c r="G11" s="76">
        <f>'P&amp;L Input'!G4/1000</f>
        <v>6092.9979999999996</v>
      </c>
      <c r="H11" s="76">
        <f t="shared" si="0"/>
        <v>9259.25</v>
      </c>
      <c r="I11" s="76">
        <f t="shared" si="0"/>
        <v>14236.04</v>
      </c>
      <c r="J11" s="76">
        <f t="shared" si="0"/>
        <v>19998.95</v>
      </c>
      <c r="K11" s="76">
        <f t="shared" si="0"/>
        <v>38090.130952380954</v>
      </c>
      <c r="L11" s="76">
        <f t="shared" si="0"/>
        <v>51425.813083900233</v>
      </c>
      <c r="M11" s="76">
        <f t="shared" si="0"/>
        <v>67263.070334240372</v>
      </c>
      <c r="N11" s="76">
        <f t="shared" si="0"/>
        <v>72174.618855664419</v>
      </c>
      <c r="O11" s="76">
        <f t="shared" ref="O11:S11" si="1">SUM(O5:O10)</f>
        <v>77509.315378990868</v>
      </c>
      <c r="P11" s="76">
        <f t="shared" si="1"/>
        <v>80389.920968883598</v>
      </c>
      <c r="Q11" s="76">
        <f t="shared" si="1"/>
        <v>83394.659634689859</v>
      </c>
      <c r="R11" s="76">
        <f t="shared" si="1"/>
        <v>85062.552827383639</v>
      </c>
      <c r="S11" s="76">
        <f t="shared" si="1"/>
        <v>86763.803883931323</v>
      </c>
      <c r="T11" s="55"/>
    </row>
    <row r="12" spans="1:20" ht="3" customHeight="1" x14ac:dyDescent="0.25"/>
    <row r="13" spans="1:20" x14ac:dyDescent="0.25">
      <c r="B13" s="50" t="s">
        <v>73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19"/>
    </row>
    <row r="14" spans="1:20" x14ac:dyDescent="0.25">
      <c r="B14" s="51" t="s">
        <v>94</v>
      </c>
      <c r="C14" s="54"/>
      <c r="D14" s="54"/>
      <c r="E14" s="54"/>
      <c r="F14" s="54"/>
      <c r="G14" s="51"/>
      <c r="H14" s="51"/>
      <c r="I14" s="53">
        <f>CHOOSE(Drivers!$C$3,'Revenue automotive'!I22,'Revenue automotive'!I30,'Revenue automotive'!I38)</f>
        <v>1</v>
      </c>
      <c r="J14" s="53">
        <f>CHOOSE(Drivers!$C$3,'Revenue automotive'!J22,'Revenue automotive'!J30,'Revenue automotive'!J38)</f>
        <v>1</v>
      </c>
      <c r="K14" s="53">
        <f>CHOOSE(Drivers!$C$3,'Revenue automotive'!K22,'Revenue automotive'!K30,'Revenue automotive'!K38)</f>
        <v>1</v>
      </c>
      <c r="L14" s="53">
        <f>CHOOSE(Drivers!$C$3,'Revenue automotive'!L22,'Revenue automotive'!L30,'Revenue automotive'!L38)</f>
        <v>1</v>
      </c>
      <c r="M14" s="53">
        <f>CHOOSE(Drivers!$C$3,'Revenue automotive'!M22,'Revenue automotive'!M30,'Revenue automotive'!M38)</f>
        <v>1</v>
      </c>
      <c r="N14" s="53">
        <f>CHOOSE(Drivers!$C$3,'Revenue automotive'!N22,'Revenue automotive'!N30,'Revenue automotive'!N38)</f>
        <v>1</v>
      </c>
      <c r="O14" s="53">
        <f>CHOOSE(Drivers!$C$3,'Revenue automotive'!O22,'Revenue automotive'!O30,'Revenue automotive'!O38)</f>
        <v>1</v>
      </c>
      <c r="P14" s="53">
        <f>CHOOSE(Drivers!$C$3,'Revenue automotive'!P22,'Revenue automotive'!P30,'Revenue automotive'!P38)</f>
        <v>1</v>
      </c>
      <c r="Q14" s="53">
        <f>CHOOSE(Drivers!$C$3,'Revenue automotive'!Q22,'Revenue automotive'!Q30,'Revenue automotive'!Q38)</f>
        <v>1</v>
      </c>
      <c r="R14" s="53">
        <f>CHOOSE(Drivers!$C$3,'Revenue automotive'!R22,'Revenue automotive'!R30,'Revenue automotive'!R38)</f>
        <v>1</v>
      </c>
      <c r="S14" s="53">
        <f>CHOOSE(Drivers!$C$3,'Revenue automotive'!S22,'Revenue automotive'!S30,'Revenue automotive'!S38)</f>
        <v>1</v>
      </c>
      <c r="T14" s="19"/>
    </row>
    <row r="15" spans="1:20" x14ac:dyDescent="0.25">
      <c r="B15" s="51" t="s">
        <v>100</v>
      </c>
      <c r="C15" s="54"/>
      <c r="D15" s="38"/>
      <c r="E15" s="38"/>
      <c r="F15" s="38"/>
      <c r="G15" s="51"/>
      <c r="H15" s="51"/>
      <c r="I15" s="53">
        <f>CHOOSE(Drivers!$C$3,'Revenue automotive'!I23,'Revenue automotive'!I31,'Revenue automotive'!I39)</f>
        <v>1</v>
      </c>
      <c r="J15" s="53">
        <f>CHOOSE(Drivers!$C$3,'Revenue automotive'!J23,'Revenue automotive'!J31,'Revenue automotive'!J39)</f>
        <v>1</v>
      </c>
      <c r="K15" s="53">
        <f>CHOOSE(Drivers!$C$3,'Revenue automotive'!K23,'Revenue automotive'!K31,'Revenue automotive'!K39)</f>
        <v>1</v>
      </c>
      <c r="L15" s="53">
        <f>CHOOSE(Drivers!$C$3,'Revenue automotive'!L23,'Revenue automotive'!L31,'Revenue automotive'!L39)</f>
        <v>1</v>
      </c>
      <c r="M15" s="53">
        <f>CHOOSE(Drivers!$C$3,'Revenue automotive'!M23,'Revenue automotive'!M31,'Revenue automotive'!M39)</f>
        <v>1</v>
      </c>
      <c r="N15" s="53">
        <f>CHOOSE(Drivers!$C$3,'Revenue automotive'!N23,'Revenue automotive'!N31,'Revenue automotive'!N39)</f>
        <v>1</v>
      </c>
      <c r="O15" s="53">
        <f>CHOOSE(Drivers!$C$3,'Revenue automotive'!O23,'Revenue automotive'!O31,'Revenue automotive'!O39)</f>
        <v>1</v>
      </c>
      <c r="P15" s="53">
        <f>CHOOSE(Drivers!$C$3,'Revenue automotive'!P23,'Revenue automotive'!P31,'Revenue automotive'!P39)</f>
        <v>1</v>
      </c>
      <c r="Q15" s="53">
        <f>CHOOSE(Drivers!$C$3,'Revenue automotive'!Q23,'Revenue automotive'!Q31,'Revenue automotive'!Q39)</f>
        <v>1</v>
      </c>
      <c r="R15" s="53">
        <f>CHOOSE(Drivers!$C$3,'Revenue automotive'!R23,'Revenue automotive'!R31,'Revenue automotive'!R39)</f>
        <v>1</v>
      </c>
      <c r="S15" s="53">
        <f>CHOOSE(Drivers!$C$3,'Revenue automotive'!S23,'Revenue automotive'!S31,'Revenue automotive'!S39)</f>
        <v>1</v>
      </c>
      <c r="T15" s="19"/>
    </row>
    <row r="16" spans="1:20" x14ac:dyDescent="0.25">
      <c r="B16" s="51" t="s">
        <v>95</v>
      </c>
      <c r="C16" s="54"/>
      <c r="D16" s="54"/>
      <c r="E16" s="54"/>
      <c r="F16" s="54"/>
      <c r="G16" s="51"/>
      <c r="H16" s="51"/>
      <c r="I16" s="53">
        <f>CHOOSE(Drivers!$C$3,'Revenue automotive'!I24,'Revenue automotive'!I32,'Revenue automotive'!I40)</f>
        <v>1</v>
      </c>
      <c r="J16" s="53">
        <f>CHOOSE(Drivers!$C$3,'Revenue automotive'!J24,'Revenue automotive'!J32,'Revenue automotive'!J40)</f>
        <v>1</v>
      </c>
      <c r="K16" s="53">
        <f>CHOOSE(Drivers!$C$3,'Revenue automotive'!K24,'Revenue automotive'!K32,'Revenue automotive'!K40)</f>
        <v>1</v>
      </c>
      <c r="L16" s="53">
        <f>CHOOSE(Drivers!$C$3,'Revenue automotive'!L24,'Revenue automotive'!L32,'Revenue automotive'!L40)</f>
        <v>1</v>
      </c>
      <c r="M16" s="53">
        <f>CHOOSE(Drivers!$C$3,'Revenue automotive'!M24,'Revenue automotive'!M32,'Revenue automotive'!M40)</f>
        <v>1</v>
      </c>
      <c r="N16" s="53">
        <f>CHOOSE(Drivers!$C$3,'Revenue automotive'!N24,'Revenue automotive'!N32,'Revenue automotive'!N40)</f>
        <v>1</v>
      </c>
      <c r="O16" s="53">
        <f>CHOOSE(Drivers!$C$3,'Revenue automotive'!O24,'Revenue automotive'!O32,'Revenue automotive'!O40)</f>
        <v>1</v>
      </c>
      <c r="P16" s="53">
        <f>CHOOSE(Drivers!$C$3,'Revenue automotive'!P24,'Revenue automotive'!P32,'Revenue automotive'!P40)</f>
        <v>1</v>
      </c>
      <c r="Q16" s="53">
        <f>CHOOSE(Drivers!$C$3,'Revenue automotive'!Q24,'Revenue automotive'!Q32,'Revenue automotive'!Q40)</f>
        <v>1</v>
      </c>
      <c r="R16" s="53">
        <f>CHOOSE(Drivers!$C$3,'Revenue automotive'!R24,'Revenue automotive'!R32,'Revenue automotive'!R40)</f>
        <v>1</v>
      </c>
      <c r="S16" s="53">
        <f>CHOOSE(Drivers!$C$3,'Revenue automotive'!S24,'Revenue automotive'!S32,'Revenue automotive'!S40)</f>
        <v>1</v>
      </c>
      <c r="T16" s="19"/>
    </row>
    <row r="17" spans="2:20" x14ac:dyDescent="0.25">
      <c r="B17" s="51" t="s">
        <v>97</v>
      </c>
      <c r="C17" s="54"/>
      <c r="D17" s="54"/>
      <c r="E17" s="54"/>
      <c r="F17" s="54"/>
      <c r="G17" s="51"/>
      <c r="H17" s="51"/>
      <c r="I17" s="53">
        <f>CHOOSE(Drivers!$C$3,'Revenue automotive'!I25,'Revenue automotive'!I33,'Revenue automotive'!I41)</f>
        <v>1</v>
      </c>
      <c r="J17" s="53">
        <f>CHOOSE(Drivers!$C$3,'Revenue automotive'!J25,'Revenue automotive'!J33,'Revenue automotive'!J41)</f>
        <v>1</v>
      </c>
      <c r="K17" s="53">
        <f>CHOOSE(Drivers!$C$3,'Revenue automotive'!K25,'Revenue automotive'!K33,'Revenue automotive'!K41)</f>
        <v>1</v>
      </c>
      <c r="L17" s="53">
        <f>CHOOSE(Drivers!$C$3,'Revenue automotive'!L25,'Revenue automotive'!L33,'Revenue automotive'!L41)</f>
        <v>1</v>
      </c>
      <c r="M17" s="53">
        <f>CHOOSE(Drivers!$C$3,'Revenue automotive'!M25,'Revenue automotive'!M33,'Revenue automotive'!M41)</f>
        <v>1</v>
      </c>
      <c r="N17" s="53">
        <f>CHOOSE(Drivers!$C$3,'Revenue automotive'!N25,'Revenue automotive'!N33,'Revenue automotive'!N41)</f>
        <v>1</v>
      </c>
      <c r="O17" s="53">
        <f>CHOOSE(Drivers!$C$3,'Revenue automotive'!O25,'Revenue automotive'!O33,'Revenue automotive'!O41)</f>
        <v>1</v>
      </c>
      <c r="P17" s="53">
        <f>CHOOSE(Drivers!$C$3,'Revenue automotive'!P25,'Revenue automotive'!P33,'Revenue automotive'!P41)</f>
        <v>1</v>
      </c>
      <c r="Q17" s="53">
        <f>CHOOSE(Drivers!$C$3,'Revenue automotive'!Q25,'Revenue automotive'!Q33,'Revenue automotive'!Q41)</f>
        <v>1</v>
      </c>
      <c r="R17" s="53">
        <f>CHOOSE(Drivers!$C$3,'Revenue automotive'!R25,'Revenue automotive'!R33,'Revenue automotive'!R41)</f>
        <v>1</v>
      </c>
      <c r="S17" s="53">
        <f>CHOOSE(Drivers!$C$3,'Revenue automotive'!S25,'Revenue automotive'!S33,'Revenue automotive'!S41)</f>
        <v>1</v>
      </c>
      <c r="T17" s="80"/>
    </row>
    <row r="18" spans="2:20" x14ac:dyDescent="0.25">
      <c r="B18" s="51" t="s">
        <v>96</v>
      </c>
      <c r="C18" s="54"/>
      <c r="D18" s="54"/>
      <c r="E18" s="54"/>
      <c r="F18" s="54"/>
      <c r="G18" s="51"/>
      <c r="H18" s="51"/>
      <c r="I18" s="53">
        <f>CHOOSE(Drivers!$C$3,'Revenue automotive'!I26,'Revenue automotive'!I34,'Revenue automotive'!I42)</f>
        <v>1</v>
      </c>
      <c r="J18" s="53">
        <f>CHOOSE(Drivers!$C$3,'Revenue automotive'!J26,'Revenue automotive'!J34,'Revenue automotive'!J42)</f>
        <v>1</v>
      </c>
      <c r="K18" s="53">
        <f>CHOOSE(Drivers!$C$3,'Revenue automotive'!K26,'Revenue automotive'!K34,'Revenue automotive'!K42)</f>
        <v>1</v>
      </c>
      <c r="L18" s="53">
        <f>CHOOSE(Drivers!$C$3,'Revenue automotive'!L26,'Revenue automotive'!L34,'Revenue automotive'!L42)</f>
        <v>1</v>
      </c>
      <c r="M18" s="53">
        <f>CHOOSE(Drivers!$C$3,'Revenue automotive'!M26,'Revenue automotive'!M34,'Revenue automotive'!M42)</f>
        <v>1</v>
      </c>
      <c r="N18" s="53">
        <f>CHOOSE(Drivers!$C$3,'Revenue automotive'!N26,'Revenue automotive'!N34,'Revenue automotive'!N42)</f>
        <v>1</v>
      </c>
      <c r="O18" s="53">
        <f>CHOOSE(Drivers!$C$3,'Revenue automotive'!O26,'Revenue automotive'!O34,'Revenue automotive'!O42)</f>
        <v>1</v>
      </c>
      <c r="P18" s="53">
        <f>CHOOSE(Drivers!$C$3,'Revenue automotive'!P26,'Revenue automotive'!P34,'Revenue automotive'!P42)</f>
        <v>1</v>
      </c>
      <c r="Q18" s="53">
        <f>CHOOSE(Drivers!$C$3,'Revenue automotive'!Q26,'Revenue automotive'!Q34,'Revenue automotive'!Q42)</f>
        <v>1</v>
      </c>
      <c r="R18" s="53">
        <f>CHOOSE(Drivers!$C$3,'Revenue automotive'!R26,'Revenue automotive'!R34,'Revenue automotive'!R42)</f>
        <v>1</v>
      </c>
      <c r="S18" s="53">
        <f>CHOOSE(Drivers!$C$3,'Revenue automotive'!S26,'Revenue automotive'!S34,'Revenue automotive'!S42)</f>
        <v>1</v>
      </c>
      <c r="T18" s="19"/>
    </row>
    <row r="19" spans="2:20" x14ac:dyDescent="0.25">
      <c r="B19" s="51" t="s">
        <v>93</v>
      </c>
      <c r="C19" s="54"/>
      <c r="D19" s="54"/>
      <c r="E19" s="54"/>
      <c r="F19" s="54"/>
      <c r="G19" s="51"/>
      <c r="H19" s="51"/>
      <c r="I19" s="53">
        <f>CHOOSE(Drivers!$C$3,'Revenue automotive'!I27,'Revenue automotive'!I35,'Revenue automotive'!I43)</f>
        <v>1</v>
      </c>
      <c r="J19" s="53">
        <f>CHOOSE(Drivers!$C$3,'Revenue automotive'!J27,'Revenue automotive'!J35,'Revenue automotive'!J43)</f>
        <v>1</v>
      </c>
      <c r="K19" s="53">
        <f>CHOOSE(Drivers!$C$3,'Revenue automotive'!K27,'Revenue automotive'!K35,'Revenue automotive'!K43)</f>
        <v>1</v>
      </c>
      <c r="L19" s="53">
        <f>CHOOSE(Drivers!$C$3,'Revenue automotive'!L27,'Revenue automotive'!L35,'Revenue automotive'!L43)</f>
        <v>1</v>
      </c>
      <c r="M19" s="53">
        <f>CHOOSE(Drivers!$C$3,'Revenue automotive'!M27,'Revenue automotive'!M35,'Revenue automotive'!M43)</f>
        <v>1</v>
      </c>
      <c r="N19" s="53">
        <f>CHOOSE(Drivers!$C$3,'Revenue automotive'!N27,'Revenue automotive'!N35,'Revenue automotive'!N43)</f>
        <v>1</v>
      </c>
      <c r="O19" s="53">
        <f>CHOOSE(Drivers!$C$3,'Revenue automotive'!O27,'Revenue automotive'!O35,'Revenue automotive'!O43)</f>
        <v>1</v>
      </c>
      <c r="P19" s="53">
        <f>CHOOSE(Drivers!$C$3,'Revenue automotive'!P27,'Revenue automotive'!P35,'Revenue automotive'!P43)</f>
        <v>1</v>
      </c>
      <c r="Q19" s="53">
        <f>CHOOSE(Drivers!$C$3,'Revenue automotive'!Q27,'Revenue automotive'!Q35,'Revenue automotive'!Q43)</f>
        <v>1</v>
      </c>
      <c r="R19" s="53">
        <f>CHOOSE(Drivers!$C$3,'Revenue automotive'!R27,'Revenue automotive'!R35,'Revenue automotive'!R43)</f>
        <v>1</v>
      </c>
      <c r="S19" s="53">
        <f>CHOOSE(Drivers!$C$3,'Revenue automotive'!S27,'Revenue automotive'!S35,'Revenue automotive'!S43)</f>
        <v>1</v>
      </c>
      <c r="T19" s="19"/>
    </row>
    <row r="20" spans="2:20" x14ac:dyDescent="0.25">
      <c r="B20" s="51"/>
      <c r="C20" s="54"/>
      <c r="D20" s="54"/>
      <c r="E20" s="54"/>
      <c r="F20" s="54"/>
      <c r="G20" s="51"/>
      <c r="H20" s="51"/>
      <c r="I20" s="54"/>
      <c r="J20" s="54"/>
      <c r="K20" s="52"/>
      <c r="L20" s="52"/>
      <c r="M20" s="52"/>
      <c r="N20" s="52"/>
      <c r="O20" s="52"/>
      <c r="P20" s="52"/>
      <c r="Q20" s="52"/>
      <c r="R20" s="52"/>
      <c r="S20" s="52"/>
      <c r="T20" s="19"/>
    </row>
    <row r="21" spans="2:20" x14ac:dyDescent="0.25">
      <c r="B21" s="50" t="s">
        <v>69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19"/>
    </row>
    <row r="22" spans="2:20" x14ac:dyDescent="0.25">
      <c r="B22" s="51" t="s">
        <v>94</v>
      </c>
      <c r="C22" s="54"/>
      <c r="D22" s="54"/>
      <c r="E22" s="54"/>
      <c r="F22" s="54"/>
      <c r="G22" s="51"/>
      <c r="H22" s="51"/>
      <c r="I22" s="53">
        <v>1.02</v>
      </c>
      <c r="J22" s="53">
        <v>1.02</v>
      </c>
      <c r="K22" s="53">
        <v>1.02</v>
      </c>
      <c r="L22" s="53">
        <v>1.02</v>
      </c>
      <c r="M22" s="53">
        <v>1.02</v>
      </c>
      <c r="N22" s="53">
        <v>1.02</v>
      </c>
      <c r="O22" s="53">
        <v>1.02</v>
      </c>
      <c r="P22" s="53">
        <v>1.02</v>
      </c>
      <c r="Q22" s="53">
        <v>1.02</v>
      </c>
      <c r="R22" s="53">
        <v>1.02</v>
      </c>
      <c r="S22" s="53">
        <v>1.02</v>
      </c>
      <c r="T22" s="19"/>
    </row>
    <row r="23" spans="2:20" x14ac:dyDescent="0.25">
      <c r="B23" s="51" t="s">
        <v>100</v>
      </c>
      <c r="C23" s="54"/>
      <c r="D23" s="38"/>
      <c r="E23" s="38"/>
      <c r="F23" s="38"/>
      <c r="G23" s="51"/>
      <c r="H23" s="51"/>
      <c r="I23" s="53">
        <v>1.02</v>
      </c>
      <c r="J23" s="53">
        <v>1.02</v>
      </c>
      <c r="K23" s="53">
        <v>1.02</v>
      </c>
      <c r="L23" s="53">
        <v>1.02</v>
      </c>
      <c r="M23" s="53">
        <v>1.02</v>
      </c>
      <c r="N23" s="53">
        <v>1.02</v>
      </c>
      <c r="O23" s="53">
        <v>1.02</v>
      </c>
      <c r="P23" s="53">
        <v>1.02</v>
      </c>
      <c r="Q23" s="53">
        <v>1.02</v>
      </c>
      <c r="R23" s="53">
        <v>1.02</v>
      </c>
      <c r="S23" s="53">
        <v>1.02</v>
      </c>
      <c r="T23" s="19"/>
    </row>
    <row r="24" spans="2:20" x14ac:dyDescent="0.25">
      <c r="B24" s="51" t="s">
        <v>95</v>
      </c>
      <c r="C24" s="54"/>
      <c r="D24" s="54"/>
      <c r="E24" s="54"/>
      <c r="F24" s="54"/>
      <c r="G24" s="51"/>
      <c r="H24" s="51"/>
      <c r="I24" s="53">
        <v>1.02</v>
      </c>
      <c r="J24" s="53">
        <v>1.02</v>
      </c>
      <c r="K24" s="53">
        <v>1.02</v>
      </c>
      <c r="L24" s="53">
        <v>1.02</v>
      </c>
      <c r="M24" s="53">
        <v>1.02</v>
      </c>
      <c r="N24" s="53">
        <v>1.02</v>
      </c>
      <c r="O24" s="53">
        <v>1.02</v>
      </c>
      <c r="P24" s="53">
        <v>1.02</v>
      </c>
      <c r="Q24" s="53">
        <v>1.02</v>
      </c>
      <c r="R24" s="53">
        <v>1.02</v>
      </c>
      <c r="S24" s="53">
        <v>1.02</v>
      </c>
      <c r="T24" s="19"/>
    </row>
    <row r="25" spans="2:20" x14ac:dyDescent="0.25">
      <c r="B25" s="51" t="s">
        <v>97</v>
      </c>
      <c r="C25" s="54"/>
      <c r="D25" s="54"/>
      <c r="E25" s="54"/>
      <c r="F25" s="54"/>
      <c r="G25" s="51"/>
      <c r="H25" s="51"/>
      <c r="I25" s="53">
        <v>1.02</v>
      </c>
      <c r="J25" s="53">
        <v>1.02</v>
      </c>
      <c r="K25" s="53">
        <v>1.02</v>
      </c>
      <c r="L25" s="53">
        <v>1.02</v>
      </c>
      <c r="M25" s="53">
        <v>1.02</v>
      </c>
      <c r="N25" s="53">
        <v>1.02</v>
      </c>
      <c r="O25" s="53">
        <v>1.02</v>
      </c>
      <c r="P25" s="53">
        <v>1.02</v>
      </c>
      <c r="Q25" s="53">
        <v>1.02</v>
      </c>
      <c r="R25" s="53">
        <v>1.02</v>
      </c>
      <c r="S25" s="53">
        <v>1.02</v>
      </c>
      <c r="T25" s="19"/>
    </row>
    <row r="26" spans="2:20" x14ac:dyDescent="0.25">
      <c r="B26" s="51" t="s">
        <v>96</v>
      </c>
      <c r="C26" s="54"/>
      <c r="D26" s="54"/>
      <c r="E26" s="54"/>
      <c r="F26" s="54"/>
      <c r="G26" s="51"/>
      <c r="H26" s="51"/>
      <c r="I26" s="53">
        <v>1.02</v>
      </c>
      <c r="J26" s="53">
        <v>1.02</v>
      </c>
      <c r="K26" s="53">
        <v>1.02</v>
      </c>
      <c r="L26" s="53">
        <v>1.02</v>
      </c>
      <c r="M26" s="53">
        <v>1.02</v>
      </c>
      <c r="N26" s="53">
        <v>1.02</v>
      </c>
      <c r="O26" s="53">
        <v>1.02</v>
      </c>
      <c r="P26" s="53">
        <v>1.02</v>
      </c>
      <c r="Q26" s="53">
        <v>1.02</v>
      </c>
      <c r="R26" s="53">
        <v>1.02</v>
      </c>
      <c r="S26" s="53">
        <v>1.02</v>
      </c>
      <c r="T26" s="19"/>
    </row>
    <row r="27" spans="2:20" x14ac:dyDescent="0.25">
      <c r="B27" s="51" t="s">
        <v>93</v>
      </c>
      <c r="C27" s="54"/>
      <c r="D27" s="54"/>
      <c r="E27" s="54"/>
      <c r="F27" s="54"/>
      <c r="G27" s="51"/>
      <c r="H27" s="51"/>
      <c r="I27" s="53">
        <v>1.02</v>
      </c>
      <c r="J27" s="53">
        <v>1.02</v>
      </c>
      <c r="K27" s="53">
        <v>1.02</v>
      </c>
      <c r="L27" s="53">
        <v>1.02</v>
      </c>
      <c r="M27" s="53">
        <v>1.02</v>
      </c>
      <c r="N27" s="53">
        <v>1.02</v>
      </c>
      <c r="O27" s="53">
        <v>1.02</v>
      </c>
      <c r="P27" s="53">
        <v>1.02</v>
      </c>
      <c r="Q27" s="53">
        <v>1.02</v>
      </c>
      <c r="R27" s="53">
        <v>1.02</v>
      </c>
      <c r="S27" s="53">
        <v>1.02</v>
      </c>
      <c r="T27" s="19"/>
    </row>
    <row r="28" spans="2:20" x14ac:dyDescent="0.25">
      <c r="B28" s="51"/>
      <c r="C28" s="54"/>
      <c r="D28" s="54"/>
      <c r="E28" s="54"/>
      <c r="F28" s="54"/>
      <c r="G28" s="51"/>
      <c r="H28" s="51"/>
      <c r="I28" s="54"/>
      <c r="J28" s="54"/>
      <c r="K28" s="52"/>
      <c r="L28" s="52"/>
      <c r="M28" s="52"/>
      <c r="N28" s="52"/>
      <c r="O28" s="52"/>
      <c r="P28" s="52"/>
      <c r="Q28" s="52"/>
      <c r="R28" s="52"/>
      <c r="S28" s="52"/>
      <c r="T28" s="19"/>
    </row>
    <row r="29" spans="2:20" x14ac:dyDescent="0.25">
      <c r="B29" s="50" t="s">
        <v>70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19"/>
    </row>
    <row r="30" spans="2:20" x14ac:dyDescent="0.25">
      <c r="B30" s="51" t="s">
        <v>94</v>
      </c>
      <c r="C30" s="54"/>
      <c r="D30" s="54"/>
      <c r="E30" s="54"/>
      <c r="F30" s="54"/>
      <c r="G30" s="51"/>
      <c r="H30" s="51"/>
      <c r="I30" s="53">
        <v>1</v>
      </c>
      <c r="J30" s="53">
        <v>1</v>
      </c>
      <c r="K30" s="53">
        <v>1</v>
      </c>
      <c r="L30" s="53">
        <v>1</v>
      </c>
      <c r="M30" s="53">
        <v>1</v>
      </c>
      <c r="N30" s="53">
        <v>1</v>
      </c>
      <c r="O30" s="53">
        <v>1</v>
      </c>
      <c r="P30" s="53">
        <v>1</v>
      </c>
      <c r="Q30" s="53">
        <v>1</v>
      </c>
      <c r="R30" s="53">
        <v>1</v>
      </c>
      <c r="S30" s="53">
        <v>1</v>
      </c>
      <c r="T30" s="19"/>
    </row>
    <row r="31" spans="2:20" x14ac:dyDescent="0.25">
      <c r="B31" s="51" t="s">
        <v>100</v>
      </c>
      <c r="C31" s="54"/>
      <c r="D31" s="38"/>
      <c r="E31" s="38"/>
      <c r="F31" s="38"/>
      <c r="G31" s="51"/>
      <c r="H31" s="51"/>
      <c r="I31" s="53">
        <v>1</v>
      </c>
      <c r="J31" s="53">
        <v>1</v>
      </c>
      <c r="K31" s="53">
        <v>1</v>
      </c>
      <c r="L31" s="53">
        <v>1</v>
      </c>
      <c r="M31" s="53">
        <v>1</v>
      </c>
      <c r="N31" s="53">
        <v>1</v>
      </c>
      <c r="O31" s="53">
        <v>1</v>
      </c>
      <c r="P31" s="53">
        <v>1</v>
      </c>
      <c r="Q31" s="53">
        <v>1</v>
      </c>
      <c r="R31" s="53">
        <v>1</v>
      </c>
      <c r="S31" s="53">
        <v>1</v>
      </c>
      <c r="T31" s="19"/>
    </row>
    <row r="32" spans="2:20" x14ac:dyDescent="0.25">
      <c r="B32" s="51" t="s">
        <v>95</v>
      </c>
      <c r="C32" s="54"/>
      <c r="D32" s="54"/>
      <c r="E32" s="54"/>
      <c r="F32" s="54"/>
      <c r="G32" s="51"/>
      <c r="H32" s="51"/>
      <c r="I32" s="53">
        <v>1</v>
      </c>
      <c r="J32" s="53">
        <v>1</v>
      </c>
      <c r="K32" s="53">
        <v>1</v>
      </c>
      <c r="L32" s="53">
        <v>1</v>
      </c>
      <c r="M32" s="53">
        <v>1</v>
      </c>
      <c r="N32" s="53">
        <v>1</v>
      </c>
      <c r="O32" s="53">
        <v>1</v>
      </c>
      <c r="P32" s="53">
        <v>1</v>
      </c>
      <c r="Q32" s="53">
        <v>1</v>
      </c>
      <c r="R32" s="53">
        <v>1</v>
      </c>
      <c r="S32" s="53">
        <v>1</v>
      </c>
      <c r="T32" s="19"/>
    </row>
    <row r="33" spans="2:20" x14ac:dyDescent="0.25">
      <c r="B33" s="51" t="s">
        <v>97</v>
      </c>
      <c r="C33" s="54"/>
      <c r="D33" s="54"/>
      <c r="E33" s="54"/>
      <c r="F33" s="54"/>
      <c r="G33" s="51"/>
      <c r="H33" s="51"/>
      <c r="I33" s="53">
        <v>1</v>
      </c>
      <c r="J33" s="53">
        <v>1</v>
      </c>
      <c r="K33" s="53">
        <v>1</v>
      </c>
      <c r="L33" s="53">
        <v>1</v>
      </c>
      <c r="M33" s="53">
        <v>1</v>
      </c>
      <c r="N33" s="53">
        <v>1</v>
      </c>
      <c r="O33" s="53">
        <v>1</v>
      </c>
      <c r="P33" s="53">
        <v>1</v>
      </c>
      <c r="Q33" s="53">
        <v>1</v>
      </c>
      <c r="R33" s="53">
        <v>1</v>
      </c>
      <c r="S33" s="53">
        <v>1</v>
      </c>
      <c r="T33" s="19"/>
    </row>
    <row r="34" spans="2:20" x14ac:dyDescent="0.25">
      <c r="B34" s="51" t="s">
        <v>96</v>
      </c>
      <c r="C34" s="54"/>
      <c r="D34" s="54"/>
      <c r="E34" s="54"/>
      <c r="F34" s="54"/>
      <c r="G34" s="51"/>
      <c r="H34" s="51"/>
      <c r="I34" s="53">
        <v>1</v>
      </c>
      <c r="J34" s="53">
        <v>1</v>
      </c>
      <c r="K34" s="53">
        <v>1</v>
      </c>
      <c r="L34" s="53">
        <v>1</v>
      </c>
      <c r="M34" s="53">
        <v>1</v>
      </c>
      <c r="N34" s="53">
        <v>1</v>
      </c>
      <c r="O34" s="53">
        <v>1</v>
      </c>
      <c r="P34" s="53">
        <v>1</v>
      </c>
      <c r="Q34" s="53">
        <v>1</v>
      </c>
      <c r="R34" s="53">
        <v>1</v>
      </c>
      <c r="S34" s="53">
        <v>1</v>
      </c>
      <c r="T34" s="19"/>
    </row>
    <row r="35" spans="2:20" x14ac:dyDescent="0.25">
      <c r="B35" s="51" t="s">
        <v>93</v>
      </c>
      <c r="C35" s="54"/>
      <c r="D35" s="54"/>
      <c r="E35" s="54"/>
      <c r="F35" s="54"/>
      <c r="G35" s="51"/>
      <c r="H35" s="51"/>
      <c r="I35" s="53">
        <v>1</v>
      </c>
      <c r="J35" s="53">
        <v>1</v>
      </c>
      <c r="K35" s="53">
        <v>1</v>
      </c>
      <c r="L35" s="53">
        <v>1</v>
      </c>
      <c r="M35" s="53">
        <v>1</v>
      </c>
      <c r="N35" s="53">
        <v>1</v>
      </c>
      <c r="O35" s="53">
        <v>1</v>
      </c>
      <c r="P35" s="53">
        <v>1</v>
      </c>
      <c r="Q35" s="53">
        <v>1</v>
      </c>
      <c r="R35" s="53">
        <v>1</v>
      </c>
      <c r="S35" s="53">
        <v>1</v>
      </c>
      <c r="T35" s="19"/>
    </row>
    <row r="36" spans="2:20" x14ac:dyDescent="0.25">
      <c r="B36" s="51"/>
      <c r="C36" s="54"/>
      <c r="D36" s="54"/>
      <c r="E36" s="54"/>
      <c r="F36" s="54"/>
      <c r="G36" s="51"/>
      <c r="H36" s="51"/>
      <c r="I36" s="54"/>
      <c r="J36" s="54"/>
      <c r="K36" s="52"/>
      <c r="L36" s="52"/>
      <c r="M36" s="52"/>
      <c r="N36" s="52"/>
      <c r="O36" s="52"/>
      <c r="P36" s="52"/>
      <c r="Q36" s="52"/>
      <c r="R36" s="52"/>
      <c r="S36" s="52"/>
      <c r="T36" s="19"/>
    </row>
    <row r="37" spans="2:20" x14ac:dyDescent="0.25">
      <c r="B37" s="50" t="s">
        <v>71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19"/>
    </row>
    <row r="38" spans="2:20" x14ac:dyDescent="0.25">
      <c r="B38" s="51" t="s">
        <v>94</v>
      </c>
      <c r="C38" s="54"/>
      <c r="D38" s="54"/>
      <c r="E38" s="54"/>
      <c r="F38" s="54"/>
      <c r="G38" s="51"/>
      <c r="H38" s="51"/>
      <c r="I38" s="53">
        <v>0.98</v>
      </c>
      <c r="J38" s="53">
        <v>0.98</v>
      </c>
      <c r="K38" s="53">
        <v>0.98</v>
      </c>
      <c r="L38" s="53">
        <v>0.98</v>
      </c>
      <c r="M38" s="53">
        <v>0.98</v>
      </c>
      <c r="N38" s="53">
        <v>0.98</v>
      </c>
      <c r="O38" s="53">
        <v>0.98</v>
      </c>
      <c r="P38" s="53">
        <v>0.98</v>
      </c>
      <c r="Q38" s="53">
        <v>0.98</v>
      </c>
      <c r="R38" s="53">
        <v>0.98</v>
      </c>
      <c r="S38" s="53">
        <v>0.98</v>
      </c>
      <c r="T38" s="19"/>
    </row>
    <row r="39" spans="2:20" x14ac:dyDescent="0.25">
      <c r="B39" s="51" t="s">
        <v>100</v>
      </c>
      <c r="C39" s="54"/>
      <c r="D39" s="38"/>
      <c r="E39" s="38"/>
      <c r="F39" s="38"/>
      <c r="G39" s="51"/>
      <c r="H39" s="51"/>
      <c r="I39" s="53">
        <v>0.98</v>
      </c>
      <c r="J39" s="53">
        <v>0.98</v>
      </c>
      <c r="K39" s="53">
        <v>0.98</v>
      </c>
      <c r="L39" s="53">
        <v>0.98</v>
      </c>
      <c r="M39" s="53">
        <v>0.98</v>
      </c>
      <c r="N39" s="53">
        <v>0.98</v>
      </c>
      <c r="O39" s="53">
        <v>0.98</v>
      </c>
      <c r="P39" s="53">
        <v>0.98</v>
      </c>
      <c r="Q39" s="53">
        <v>0.98</v>
      </c>
      <c r="R39" s="53">
        <v>0.98</v>
      </c>
      <c r="S39" s="53">
        <v>0.98</v>
      </c>
      <c r="T39" s="19"/>
    </row>
    <row r="40" spans="2:20" x14ac:dyDescent="0.25">
      <c r="B40" s="51" t="s">
        <v>95</v>
      </c>
      <c r="C40" s="54"/>
      <c r="D40" s="54"/>
      <c r="E40" s="54"/>
      <c r="F40" s="54"/>
      <c r="G40" s="51"/>
      <c r="H40" s="51"/>
      <c r="I40" s="53">
        <v>0.98</v>
      </c>
      <c r="J40" s="53">
        <v>0.98</v>
      </c>
      <c r="K40" s="53">
        <v>0.98</v>
      </c>
      <c r="L40" s="53">
        <v>0.98</v>
      </c>
      <c r="M40" s="53">
        <v>0.98</v>
      </c>
      <c r="N40" s="53">
        <v>0.98</v>
      </c>
      <c r="O40" s="53">
        <v>0.98</v>
      </c>
      <c r="P40" s="53">
        <v>0.98</v>
      </c>
      <c r="Q40" s="53">
        <v>0.98</v>
      </c>
      <c r="R40" s="53">
        <v>0.98</v>
      </c>
      <c r="S40" s="53">
        <v>0.98</v>
      </c>
      <c r="T40" s="19"/>
    </row>
    <row r="41" spans="2:20" x14ac:dyDescent="0.25">
      <c r="B41" s="51" t="s">
        <v>97</v>
      </c>
      <c r="C41" s="54"/>
      <c r="D41" s="54"/>
      <c r="E41" s="54"/>
      <c r="F41" s="54"/>
      <c r="G41" s="51"/>
      <c r="H41" s="51"/>
      <c r="I41" s="53">
        <v>0.98</v>
      </c>
      <c r="J41" s="53">
        <v>0.98</v>
      </c>
      <c r="K41" s="53">
        <v>0.98</v>
      </c>
      <c r="L41" s="53">
        <v>0.98</v>
      </c>
      <c r="M41" s="53">
        <v>0.98</v>
      </c>
      <c r="N41" s="53">
        <v>0.98</v>
      </c>
      <c r="O41" s="53">
        <v>0.98</v>
      </c>
      <c r="P41" s="53">
        <v>0.98</v>
      </c>
      <c r="Q41" s="53">
        <v>0.98</v>
      </c>
      <c r="R41" s="53">
        <v>0.98</v>
      </c>
      <c r="S41" s="53">
        <v>0.98</v>
      </c>
      <c r="T41" s="19"/>
    </row>
    <row r="42" spans="2:20" x14ac:dyDescent="0.25">
      <c r="B42" s="51" t="s">
        <v>96</v>
      </c>
      <c r="C42" s="54"/>
      <c r="D42" s="54"/>
      <c r="E42" s="54"/>
      <c r="F42" s="54"/>
      <c r="G42" s="51"/>
      <c r="H42" s="51"/>
      <c r="I42" s="53">
        <v>0.98</v>
      </c>
      <c r="J42" s="53">
        <v>0.98</v>
      </c>
      <c r="K42" s="53">
        <v>0.98</v>
      </c>
      <c r="L42" s="53">
        <v>0.98</v>
      </c>
      <c r="M42" s="53">
        <v>0.98</v>
      </c>
      <c r="N42" s="53">
        <v>0.98</v>
      </c>
      <c r="O42" s="53">
        <v>0.98</v>
      </c>
      <c r="P42" s="53">
        <v>0.98</v>
      </c>
      <c r="Q42" s="53">
        <v>0.98</v>
      </c>
      <c r="R42" s="53">
        <v>0.98</v>
      </c>
      <c r="S42" s="53">
        <v>0.98</v>
      </c>
      <c r="T42" s="19"/>
    </row>
    <row r="43" spans="2:20" x14ac:dyDescent="0.25">
      <c r="B43" s="51" t="s">
        <v>93</v>
      </c>
      <c r="C43" s="54"/>
      <c r="D43" s="54"/>
      <c r="E43" s="54"/>
      <c r="F43" s="54"/>
      <c r="G43" s="51"/>
      <c r="H43" s="51"/>
      <c r="I43" s="53">
        <v>0.98</v>
      </c>
      <c r="J43" s="53">
        <v>0.98</v>
      </c>
      <c r="K43" s="53">
        <v>0.98</v>
      </c>
      <c r="L43" s="53">
        <v>0.98</v>
      </c>
      <c r="M43" s="53">
        <v>0.98</v>
      </c>
      <c r="N43" s="53">
        <v>0.98</v>
      </c>
      <c r="O43" s="53">
        <v>0.98</v>
      </c>
      <c r="P43" s="53">
        <v>0.98</v>
      </c>
      <c r="Q43" s="53">
        <v>0.98</v>
      </c>
      <c r="R43" s="53">
        <v>0.98</v>
      </c>
      <c r="S43" s="53">
        <v>0.98</v>
      </c>
      <c r="T43" s="19"/>
    </row>
    <row r="44" spans="2:20" x14ac:dyDescent="0.25">
      <c r="B44" s="51"/>
      <c r="C44" s="54"/>
      <c r="D44" s="54"/>
      <c r="E44" s="54"/>
      <c r="F44" s="54"/>
      <c r="G44" s="51"/>
      <c r="H44" s="51"/>
      <c r="I44" s="54"/>
      <c r="J44" s="54"/>
      <c r="K44" s="52"/>
      <c r="L44" s="52"/>
      <c r="M44" s="52"/>
      <c r="N44" s="52"/>
      <c r="O44" s="52"/>
      <c r="P44" s="52"/>
      <c r="Q44" s="52"/>
      <c r="R44" s="52"/>
      <c r="S44" s="52"/>
      <c r="T44" s="19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125</v>
      </c>
    </row>
    <row r="2" spans="1:8" ht="15.6" x14ac:dyDescent="0.25">
      <c r="A2" s="1"/>
      <c r="B2" s="2"/>
    </row>
    <row r="3" spans="1:8" ht="13.2" x14ac:dyDescent="0.25">
      <c r="A3" s="1"/>
      <c r="B3" s="61" t="s">
        <v>119</v>
      </c>
    </row>
    <row r="5" spans="1:8" ht="24" x14ac:dyDescent="0.25">
      <c r="B5" s="20" t="s">
        <v>91</v>
      </c>
      <c r="C5" s="20" t="s">
        <v>117</v>
      </c>
      <c r="D5" s="21" t="s">
        <v>122</v>
      </c>
      <c r="E5" s="21" t="s">
        <v>123</v>
      </c>
      <c r="F5" s="21" t="s">
        <v>124</v>
      </c>
      <c r="G5" s="58"/>
      <c r="H5" s="21" t="s">
        <v>118</v>
      </c>
    </row>
    <row r="6" spans="1:8" x14ac:dyDescent="0.25">
      <c r="B6" s="8" t="s">
        <v>94</v>
      </c>
      <c r="C6" s="8" t="s">
        <v>126</v>
      </c>
      <c r="D6" s="15">
        <f>(133449-114869)/133449</f>
        <v>0.13922921865281868</v>
      </c>
      <c r="E6" s="15">
        <f>(135782-125025)/135782</f>
        <v>7.9222577366661259E-2</v>
      </c>
      <c r="F6" s="15">
        <f>(110934-93975)/110934</f>
        <v>0.15287468224349612</v>
      </c>
      <c r="G6" s="58"/>
      <c r="H6" s="63">
        <f t="shared" ref="H6:H11" si="0">AVERAGE(D6:F6)</f>
        <v>0.12377549275432535</v>
      </c>
    </row>
    <row r="7" spans="1:8" x14ac:dyDescent="0.25">
      <c r="B7" s="8" t="s">
        <v>100</v>
      </c>
      <c r="C7" s="8" t="s">
        <v>127</v>
      </c>
      <c r="D7" s="64">
        <v>0.184</v>
      </c>
      <c r="E7" s="64">
        <v>0.20799999999999999</v>
      </c>
      <c r="F7" s="64">
        <f>36335/196949</f>
        <v>0.18448938557697678</v>
      </c>
      <c r="G7" s="58"/>
      <c r="H7" s="63">
        <f t="shared" si="0"/>
        <v>0.19216312852565895</v>
      </c>
    </row>
    <row r="8" spans="1:8" x14ac:dyDescent="0.25">
      <c r="B8" s="8" t="s">
        <v>95</v>
      </c>
      <c r="C8" s="8" t="s">
        <v>127</v>
      </c>
      <c r="D8" s="64">
        <v>0.184</v>
      </c>
      <c r="E8" s="64">
        <v>0.20799999999999999</v>
      </c>
      <c r="F8" s="64">
        <f>36335/196949</f>
        <v>0.18448938557697678</v>
      </c>
      <c r="G8" s="58"/>
      <c r="H8" s="63">
        <f t="shared" si="0"/>
        <v>0.19216312852565895</v>
      </c>
    </row>
    <row r="9" spans="1:8" x14ac:dyDescent="0.25">
      <c r="B9" s="8" t="s">
        <v>97</v>
      </c>
      <c r="C9" s="8" t="s">
        <v>128</v>
      </c>
      <c r="D9" s="64">
        <f>(24339-15071)/24339</f>
        <v>0.38078803566292779</v>
      </c>
      <c r="E9" s="64">
        <f>6619/23491</f>
        <v>0.28176748541994806</v>
      </c>
      <c r="F9" s="64">
        <f>(3416890-1650860)/(3416890)</f>
        <v>0.51685304472780802</v>
      </c>
      <c r="G9" s="58"/>
      <c r="H9" s="63">
        <f t="shared" si="0"/>
        <v>0.39313618860356131</v>
      </c>
    </row>
    <row r="10" spans="1:8" x14ac:dyDescent="0.25">
      <c r="B10" s="8" t="s">
        <v>96</v>
      </c>
      <c r="C10" s="8" t="s">
        <v>126</v>
      </c>
      <c r="D10" s="15">
        <f>(133449-114869)/133449</f>
        <v>0.13922921865281868</v>
      </c>
      <c r="E10" s="15">
        <f>(135782-125025)/135782</f>
        <v>7.9222577366661259E-2</v>
      </c>
      <c r="F10" s="15">
        <f>(110934-93975)/110934</f>
        <v>0.15287468224349612</v>
      </c>
      <c r="G10" s="58"/>
      <c r="H10" s="63">
        <f t="shared" si="0"/>
        <v>0.12377549275432535</v>
      </c>
    </row>
    <row r="11" spans="1:8" x14ac:dyDescent="0.25">
      <c r="B11" s="8" t="s">
        <v>93</v>
      </c>
      <c r="C11" s="8" t="s">
        <v>129</v>
      </c>
      <c r="D11" s="15">
        <f>29475/119713</f>
        <v>0.24621386148538588</v>
      </c>
      <c r="E11" s="15">
        <f>2671/14342</f>
        <v>0.1862362292567285</v>
      </c>
      <c r="F11" s="15">
        <f>(18187.5-15593.7)/18187.5</f>
        <v>0.14261443298969068</v>
      </c>
      <c r="G11" s="58"/>
      <c r="H11" s="63">
        <f t="shared" si="0"/>
        <v>0.19168817457726836</v>
      </c>
    </row>
    <row r="13" spans="1:8" x14ac:dyDescent="0.25">
      <c r="B13" s="8" t="s">
        <v>120</v>
      </c>
    </row>
    <row r="14" spans="1:8" x14ac:dyDescent="0.25">
      <c r="F14" s="8" t="s">
        <v>121</v>
      </c>
    </row>
    <row r="15" spans="1:8" ht="12" x14ac:dyDescent="0.25">
      <c r="B15" s="20" t="s">
        <v>91</v>
      </c>
      <c r="C15" s="20" t="s">
        <v>118</v>
      </c>
    </row>
    <row r="16" spans="1:8" x14ac:dyDescent="0.25">
      <c r="B16" s="8" t="s">
        <v>94</v>
      </c>
      <c r="C16" s="8" t="s">
        <v>65</v>
      </c>
    </row>
    <row r="17" spans="2:3" x14ac:dyDescent="0.25">
      <c r="B17" s="8" t="s">
        <v>100</v>
      </c>
      <c r="C17" s="62">
        <f>AVERAGE('P&amp;L Input'!C29:F29)</f>
        <v>0.25321088044477918</v>
      </c>
    </row>
    <row r="18" spans="2:3" x14ac:dyDescent="0.25">
      <c r="B18" s="8" t="s">
        <v>95</v>
      </c>
      <c r="C18" s="8" t="s">
        <v>65</v>
      </c>
    </row>
    <row r="19" spans="2:3" x14ac:dyDescent="0.25">
      <c r="B19" s="8" t="s">
        <v>97</v>
      </c>
      <c r="C19" s="8" t="s">
        <v>65</v>
      </c>
    </row>
    <row r="20" spans="2:3" x14ac:dyDescent="0.25">
      <c r="B20" s="8" t="s">
        <v>96</v>
      </c>
      <c r="C20" s="8" t="s">
        <v>65</v>
      </c>
    </row>
    <row r="21" spans="2:3" x14ac:dyDescent="0.25">
      <c r="B21" s="8" t="s">
        <v>93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89" t="s">
        <v>131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20" t="s">
        <v>91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94</v>
      </c>
      <c r="C5" s="32" t="s">
        <v>65</v>
      </c>
      <c r="D5" s="32" t="s">
        <v>65</v>
      </c>
      <c r="E5" s="32" t="s">
        <v>65</v>
      </c>
      <c r="F5" s="32" t="s">
        <v>65</v>
      </c>
      <c r="G5" s="32" t="s">
        <v>65</v>
      </c>
      <c r="H5" s="49">
        <f>H14*'Revenue automotive'!H5</f>
        <v>540.65135235089315</v>
      </c>
      <c r="I5" s="33" t="s">
        <v>65</v>
      </c>
      <c r="J5" s="49">
        <f>J14*'Revenue automotive'!J5</f>
        <v>1351.6283808772328</v>
      </c>
      <c r="K5" s="49">
        <f>K14*'Revenue automotive'!K5</f>
        <v>2162.6054094035726</v>
      </c>
      <c r="L5" s="49">
        <f>L14*'Revenue automotive'!L5</f>
        <v>2378.8659503439303</v>
      </c>
      <c r="M5" s="49">
        <f>M14*'Revenue automotive'!M5</f>
        <v>2616.7525453783232</v>
      </c>
      <c r="N5" s="49">
        <f>N14*'Revenue automotive'!N5</f>
        <v>2747.5901726472393</v>
      </c>
      <c r="O5" s="49">
        <f>O14*'Revenue automotive'!O5</f>
        <v>2884.9696812796019</v>
      </c>
      <c r="P5" s="49">
        <f>P14*'Revenue automotive'!P5</f>
        <v>2942.6690749051932</v>
      </c>
      <c r="Q5" s="49">
        <f>Q14*'Revenue automotive'!Q5</f>
        <v>3001.5224564032974</v>
      </c>
      <c r="R5" s="49">
        <f>R14*'Revenue automotive'!R5</f>
        <v>3061.5529055313636</v>
      </c>
      <c r="S5" s="49">
        <f>S14*'Revenue automotive'!S5</f>
        <v>3122.7839636419908</v>
      </c>
    </row>
    <row r="6" spans="1:19" x14ac:dyDescent="0.25">
      <c r="B6" s="8" t="s">
        <v>100</v>
      </c>
      <c r="C6" s="32" t="s">
        <v>65</v>
      </c>
      <c r="D6" s="32" t="s">
        <v>65</v>
      </c>
      <c r="E6" s="32" t="s">
        <v>65</v>
      </c>
      <c r="F6" s="32" t="s">
        <v>65</v>
      </c>
      <c r="G6" s="32" t="s">
        <v>65</v>
      </c>
      <c r="H6" s="49">
        <f>H15*'Revenue automotive'!H6</f>
        <v>939.91790240112937</v>
      </c>
      <c r="I6" s="33" t="s">
        <v>65</v>
      </c>
      <c r="J6" s="49">
        <f>J15*'Revenue automotive'!J6</f>
        <v>1715.0559220915061</v>
      </c>
      <c r="K6" s="49">
        <f>K15*'Revenue automotive'!K6</f>
        <v>1749.3570405333362</v>
      </c>
      <c r="L6" s="49">
        <f>L15*'Revenue automotive'!L6</f>
        <v>1784.3441813440029</v>
      </c>
      <c r="M6" s="49">
        <f>M15*'Revenue automotive'!M6</f>
        <v>1820.0310649708831</v>
      </c>
      <c r="N6" s="49">
        <f>N15*'Revenue automotive'!N6</f>
        <v>1856.4316862703008</v>
      </c>
      <c r="O6" s="49">
        <f>O15*'Revenue automotive'!O6</f>
        <v>1893.560319995707</v>
      </c>
      <c r="P6" s="49">
        <f>P15*'Revenue automotive'!P6</f>
        <v>1931.4315263956209</v>
      </c>
      <c r="Q6" s="49">
        <f>Q15*'Revenue automotive'!Q6</f>
        <v>1970.0601569235334</v>
      </c>
      <c r="R6" s="49">
        <f>R15*'Revenue automotive'!R6</f>
        <v>2009.4613600620044</v>
      </c>
      <c r="S6" s="49">
        <f>S15*'Revenue automotive'!S6</f>
        <v>2049.6505872632442</v>
      </c>
    </row>
    <row r="7" spans="1:19" x14ac:dyDescent="0.25">
      <c r="B7" s="8" t="s">
        <v>95</v>
      </c>
      <c r="C7" s="32">
        <v>0</v>
      </c>
      <c r="D7" s="32">
        <v>0</v>
      </c>
      <c r="E7" s="32">
        <v>0</v>
      </c>
      <c r="F7" s="32">
        <v>0</v>
      </c>
      <c r="G7" s="48">
        <f>G16*'Revenue automotive'!G7</f>
        <v>0</v>
      </c>
      <c r="H7" s="49">
        <f>H16*'Revenue automotive'!H7</f>
        <v>0</v>
      </c>
      <c r="I7" s="49">
        <f t="shared" ref="I7:I10" si="0">G7+H7</f>
        <v>0</v>
      </c>
      <c r="J7" s="49">
        <f>J16*'Revenue automotive'!J7</f>
        <v>16.948787935963121</v>
      </c>
      <c r="K7" s="49">
        <f>K16*'Revenue automotive'!K7</f>
        <v>1255.0173924010785</v>
      </c>
      <c r="L7" s="49">
        <f>L16*'Revenue automotive'!L7</f>
        <v>2498.1206708335662</v>
      </c>
      <c r="M7" s="49">
        <f>M16*'Revenue automotive'!M7</f>
        <v>3996.993073333706</v>
      </c>
      <c r="N7" s="49">
        <f>N16*'Revenue automotive'!N7</f>
        <v>4396.6923806670775</v>
      </c>
      <c r="O7" s="49">
        <f>O16*'Revenue automotive'!O7</f>
        <v>4836.3616187337857</v>
      </c>
      <c r="P7" s="49">
        <f>P16*'Revenue automotive'!P7</f>
        <v>5078.1796996704752</v>
      </c>
      <c r="Q7" s="49">
        <f>Q16*'Revenue automotive'!Q7</f>
        <v>5332.0886846539988</v>
      </c>
      <c r="R7" s="49">
        <f>R16*'Revenue automotive'!R7</f>
        <v>5438.7304583470786</v>
      </c>
      <c r="S7" s="49">
        <f>S16*'Revenue automotive'!S7</f>
        <v>5547.5050675140201</v>
      </c>
    </row>
    <row r="8" spans="1:19" x14ac:dyDescent="0.25">
      <c r="B8" s="8" t="s">
        <v>97</v>
      </c>
      <c r="C8" s="32">
        <v>0</v>
      </c>
      <c r="D8" s="32">
        <v>0</v>
      </c>
      <c r="E8" s="32">
        <v>0</v>
      </c>
      <c r="F8" s="32">
        <v>0</v>
      </c>
      <c r="G8" s="48">
        <f>G17*'Revenue automotive'!G8</f>
        <v>0</v>
      </c>
      <c r="H8" s="49">
        <f>H17*'Revenue automotive'!H8</f>
        <v>0</v>
      </c>
      <c r="I8" s="49">
        <f t="shared" si="0"/>
        <v>0</v>
      </c>
      <c r="J8" s="49">
        <f>J17*'Revenue automotive'!J8</f>
        <v>0</v>
      </c>
      <c r="K8" s="49">
        <f>K17*'Revenue automotive'!K8</f>
        <v>45.210661689409548</v>
      </c>
      <c r="L8" s="49">
        <f>L17*'Revenue automotive'!L8</f>
        <v>90.421323378819096</v>
      </c>
      <c r="M8" s="49">
        <f>M17*'Revenue automotive'!M8</f>
        <v>135.63198506822866</v>
      </c>
      <c r="N8" s="49">
        <f>N17*'Revenue automotive'!N8</f>
        <v>149.19518357505154</v>
      </c>
      <c r="O8" s="49">
        <f>O17*'Revenue automotive'!O8</f>
        <v>164.1147019325567</v>
      </c>
      <c r="P8" s="49">
        <f>P17*'Revenue automotive'!P8</f>
        <v>172.32043702918455</v>
      </c>
      <c r="Q8" s="49">
        <f>Q17*'Revenue automotive'!Q8</f>
        <v>180.93645888064378</v>
      </c>
      <c r="R8" s="49">
        <f>R17*'Revenue automotive'!R8</f>
        <v>184.55518805825668</v>
      </c>
      <c r="S8" s="49">
        <f>S17*'Revenue automotive'!S8</f>
        <v>188.2462918194218</v>
      </c>
    </row>
    <row r="9" spans="1:19" x14ac:dyDescent="0.25">
      <c r="B9" s="8" t="s">
        <v>96</v>
      </c>
      <c r="C9" s="32">
        <v>0</v>
      </c>
      <c r="D9" s="32">
        <v>0</v>
      </c>
      <c r="E9" s="32">
        <v>0</v>
      </c>
      <c r="F9" s="32">
        <v>0</v>
      </c>
      <c r="G9" s="48">
        <f>G18*'Revenue automotive'!G9</f>
        <v>0</v>
      </c>
      <c r="H9" s="49">
        <f>H18*'Revenue automotive'!H9</f>
        <v>0</v>
      </c>
      <c r="I9" s="49">
        <f t="shared" si="0"/>
        <v>0</v>
      </c>
      <c r="J9" s="49">
        <f>J18*'Revenue automotive'!J9</f>
        <v>1.9494640108806243</v>
      </c>
      <c r="K9" s="49">
        <f>K18*'Revenue automotive'!K9</f>
        <v>144.35316842473193</v>
      </c>
      <c r="L9" s="49">
        <f>L18*'Revenue automotive'!L9</f>
        <v>287.33596532254103</v>
      </c>
      <c r="M9" s="49">
        <f>M18*'Revenue automotive'!M9</f>
        <v>459.73754451606573</v>
      </c>
      <c r="N9" s="49">
        <f>N18*'Revenue automotive'!N9</f>
        <v>505.71129896767229</v>
      </c>
      <c r="O9" s="49">
        <f>O18*'Revenue automotive'!O9</f>
        <v>556.28242886443968</v>
      </c>
      <c r="P9" s="49">
        <f>P18*'Revenue automotive'!P9</f>
        <v>584.09655030766157</v>
      </c>
      <c r="Q9" s="49">
        <f>Q18*'Revenue automotive'!Q9</f>
        <v>613.30137782304473</v>
      </c>
      <c r="R9" s="49">
        <f>R18*'Revenue automotive'!R9</f>
        <v>625.56740537950566</v>
      </c>
      <c r="S9" s="49">
        <f>S18*'Revenue automotive'!S9</f>
        <v>638.0787534870957</v>
      </c>
    </row>
    <row r="10" spans="1:19" x14ac:dyDescent="0.25">
      <c r="B10" s="8" t="s">
        <v>93</v>
      </c>
      <c r="C10" s="32">
        <v>0</v>
      </c>
      <c r="D10" s="32">
        <v>0</v>
      </c>
      <c r="E10" s="32">
        <v>0</v>
      </c>
      <c r="F10" s="32">
        <v>0</v>
      </c>
      <c r="G10" s="48">
        <f>G19*'Revenue automotive'!G10</f>
        <v>0</v>
      </c>
      <c r="H10" s="49">
        <f>H19*'Revenue automotive'!H10</f>
        <v>0</v>
      </c>
      <c r="I10" s="49">
        <f t="shared" si="0"/>
        <v>0</v>
      </c>
      <c r="J10" s="49">
        <f>J19*'Revenue automotive'!J10</f>
        <v>9.5844087288634174</v>
      </c>
      <c r="K10" s="49">
        <f>K19*'Revenue automotive'!K10</f>
        <v>709.7026463515532</v>
      </c>
      <c r="L10" s="49">
        <f>L19*'Revenue automotive'!L10</f>
        <v>1412.6679532338374</v>
      </c>
      <c r="M10" s="49">
        <f>M19*'Revenue automotive'!M10</f>
        <v>2260.2687251741399</v>
      </c>
      <c r="N10" s="49">
        <f>N19*'Revenue automotive'!N10</f>
        <v>2486.2955976915541</v>
      </c>
      <c r="O10" s="49">
        <f>O19*'Revenue automotive'!O10</f>
        <v>2734.9251574607097</v>
      </c>
      <c r="P10" s="49">
        <f>P19*'Revenue automotive'!P10</f>
        <v>2871.6714153337452</v>
      </c>
      <c r="Q10" s="49">
        <f>Q19*'Revenue automotive'!Q10</f>
        <v>3015.2549861004331</v>
      </c>
      <c r="R10" s="49">
        <f>R19*'Revenue automotive'!R10</f>
        <v>3075.5600858224416</v>
      </c>
      <c r="S10" s="49">
        <f>S19*'Revenue automotive'!S10</f>
        <v>3137.0712875388904</v>
      </c>
    </row>
    <row r="11" spans="1:19" ht="12.6" thickBot="1" x14ac:dyDescent="0.3">
      <c r="B11" s="75" t="s">
        <v>68</v>
      </c>
      <c r="C11" s="76">
        <f>('P&amp;L Input'!C4+'P&amp;L Input'!C8)/1000</f>
        <v>861.26300000000003</v>
      </c>
      <c r="D11" s="76">
        <f>('P&amp;L Input'!D4+'P&amp;L Input'!D8)/1000</f>
        <v>917.67100000000005</v>
      </c>
      <c r="E11" s="76">
        <f>('P&amp;L Input'!E4+'P&amp;L Input'!E8)/1000</f>
        <v>1600.6849999999999</v>
      </c>
      <c r="F11" s="76">
        <f>('P&amp;L Input'!F4+'P&amp;L Input'!F8)/1000</f>
        <v>2208.596</v>
      </c>
      <c r="G11" s="76">
        <f>('P&amp;L Input'!G4+'P&amp;L Input'!G8)/1000</f>
        <v>1230.451</v>
      </c>
      <c r="H11" s="76">
        <f t="shared" ref="H11:N11" si="1">SUM(H5:H10)</f>
        <v>1480.5692547520225</v>
      </c>
      <c r="I11" s="76">
        <f>G11+H11</f>
        <v>2711.0202547520225</v>
      </c>
      <c r="J11" s="76">
        <f t="shared" si="1"/>
        <v>3095.1669636444458</v>
      </c>
      <c r="K11" s="76">
        <f t="shared" si="1"/>
        <v>6066.2463188036818</v>
      </c>
      <c r="L11" s="76">
        <f t="shared" si="1"/>
        <v>8451.7560444566952</v>
      </c>
      <c r="M11" s="76">
        <f t="shared" si="1"/>
        <v>11289.414938441347</v>
      </c>
      <c r="N11" s="76">
        <f t="shared" si="1"/>
        <v>12141.916319818894</v>
      </c>
      <c r="O11" s="76">
        <f t="shared" ref="O11:S11" si="2">SUM(O5:O10)</f>
        <v>13070.213908266798</v>
      </c>
      <c r="P11" s="76">
        <f t="shared" si="2"/>
        <v>13580.36870364188</v>
      </c>
      <c r="Q11" s="76">
        <f t="shared" si="2"/>
        <v>14113.164120784952</v>
      </c>
      <c r="R11" s="76">
        <f t="shared" si="2"/>
        <v>14395.427403200651</v>
      </c>
      <c r="S11" s="76">
        <f t="shared" si="2"/>
        <v>14683.335951264664</v>
      </c>
    </row>
    <row r="12" spans="1:19" ht="3" customHeight="1" x14ac:dyDescent="0.25"/>
    <row r="13" spans="1:19" x14ac:dyDescent="0.25">
      <c r="B13" s="50" t="s">
        <v>73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</row>
    <row r="14" spans="1:19" x14ac:dyDescent="0.25">
      <c r="B14" s="51" t="s">
        <v>94</v>
      </c>
      <c r="C14" s="54"/>
      <c r="D14" s="54"/>
      <c r="E14" s="54"/>
      <c r="F14" s="54"/>
      <c r="G14" s="53">
        <f>CHOOSE(Drivers!$C$3,'GP automotive'!G22,'GP automotive'!G30,'GP automotive'!G38)</f>
        <v>0.12377549275432535</v>
      </c>
      <c r="H14" s="53">
        <f>CHOOSE(Drivers!$C$3,'GP automotive'!H22,'GP automotive'!H30,'GP automotive'!H38)</f>
        <v>0.12377549275432535</v>
      </c>
      <c r="I14" s="53">
        <f>CHOOSE(Drivers!$C$3,'GP automotive'!I22,'GP automotive'!I30,'GP automotive'!I38)</f>
        <v>0.12377549275432535</v>
      </c>
      <c r="J14" s="53">
        <f>CHOOSE(Drivers!$C$3,'GP automotive'!J22,'GP automotive'!J30,'GP automotive'!J38)</f>
        <v>0.12377549275432535</v>
      </c>
      <c r="K14" s="53">
        <f>CHOOSE(Drivers!$C$3,'GP automotive'!K22,'GP automotive'!K30,'GP automotive'!K38)</f>
        <v>0.12377549275432535</v>
      </c>
      <c r="L14" s="53">
        <f>CHOOSE(Drivers!$C$3,'GP automotive'!L22,'GP automotive'!L30,'GP automotive'!L38)</f>
        <v>0.12377549275432535</v>
      </c>
      <c r="M14" s="53">
        <f>CHOOSE(Drivers!$C$3,'GP automotive'!M22,'GP automotive'!M30,'GP automotive'!M38)</f>
        <v>0.12377549275432535</v>
      </c>
      <c r="N14" s="53">
        <f>CHOOSE(Drivers!$C$3,'GP automotive'!N22,'GP automotive'!N30,'GP automotive'!N38)</f>
        <v>0.12377549275432535</v>
      </c>
      <c r="O14" s="53">
        <f>CHOOSE(Drivers!$C$3,'GP automotive'!O22,'GP automotive'!O30,'GP automotive'!O38)</f>
        <v>0.12377549275432535</v>
      </c>
      <c r="P14" s="53">
        <f>CHOOSE(Drivers!$C$3,'GP automotive'!P22,'GP automotive'!P30,'GP automotive'!P38)</f>
        <v>0.12377549275432535</v>
      </c>
      <c r="Q14" s="53">
        <f>CHOOSE(Drivers!$C$3,'GP automotive'!Q22,'GP automotive'!Q30,'GP automotive'!Q38)</f>
        <v>0.12377549275432535</v>
      </c>
      <c r="R14" s="53">
        <f>CHOOSE(Drivers!$C$3,'GP automotive'!R22,'GP automotive'!R30,'GP automotive'!R38)</f>
        <v>0.12377549275432535</v>
      </c>
      <c r="S14" s="53">
        <f>CHOOSE(Drivers!$C$3,'GP automotive'!S22,'GP automotive'!S30,'GP automotive'!S38)</f>
        <v>0.12377549275432535</v>
      </c>
    </row>
    <row r="15" spans="1:19" x14ac:dyDescent="0.25">
      <c r="B15" s="51" t="s">
        <v>100</v>
      </c>
      <c r="C15" s="54"/>
      <c r="D15" s="38"/>
      <c r="E15" s="38"/>
      <c r="F15" s="38"/>
      <c r="G15" s="53">
        <f>CHOOSE(Drivers!$C$3,'GP automotive'!G23,'GP automotive'!G31,'GP automotive'!G39)</f>
        <v>0.19216312852565895</v>
      </c>
      <c r="H15" s="53">
        <f>CHOOSE(Drivers!$C$3,'GP automotive'!H23,'GP automotive'!H31,'GP automotive'!H39)</f>
        <v>0.19216312852565895</v>
      </c>
      <c r="I15" s="53">
        <f>CHOOSE(Drivers!$C$3,'GP automotive'!I23,'GP automotive'!I31,'GP automotive'!I39)</f>
        <v>0.19216312852565895</v>
      </c>
      <c r="J15" s="53">
        <f>CHOOSE(Drivers!$C$3,'GP automotive'!J23,'GP automotive'!J31,'GP automotive'!J39)</f>
        <v>0.19216312852565895</v>
      </c>
      <c r="K15" s="53">
        <f>CHOOSE(Drivers!$C$3,'GP automotive'!K23,'GP automotive'!K31,'GP automotive'!K39)</f>
        <v>0.19216312852565895</v>
      </c>
      <c r="L15" s="53">
        <f>CHOOSE(Drivers!$C$3,'GP automotive'!L23,'GP automotive'!L31,'GP automotive'!L39)</f>
        <v>0.19216312852565895</v>
      </c>
      <c r="M15" s="53">
        <f>CHOOSE(Drivers!$C$3,'GP automotive'!M23,'GP automotive'!M31,'GP automotive'!M39)</f>
        <v>0.19216312852565895</v>
      </c>
      <c r="N15" s="53">
        <f>CHOOSE(Drivers!$C$3,'GP automotive'!N23,'GP automotive'!N31,'GP automotive'!N39)</f>
        <v>0.19216312852565895</v>
      </c>
      <c r="O15" s="53">
        <f>CHOOSE(Drivers!$C$3,'GP automotive'!O23,'GP automotive'!O31,'GP automotive'!O39)</f>
        <v>0.19216312852565895</v>
      </c>
      <c r="P15" s="53">
        <f>CHOOSE(Drivers!$C$3,'GP automotive'!P23,'GP automotive'!P31,'GP automotive'!P39)</f>
        <v>0.19216312852565895</v>
      </c>
      <c r="Q15" s="53">
        <f>CHOOSE(Drivers!$C$3,'GP automotive'!Q23,'GP automotive'!Q31,'GP automotive'!Q39)</f>
        <v>0.19216312852565895</v>
      </c>
      <c r="R15" s="53">
        <f>CHOOSE(Drivers!$C$3,'GP automotive'!R23,'GP automotive'!R31,'GP automotive'!R39)</f>
        <v>0.19216312852565895</v>
      </c>
      <c r="S15" s="53">
        <f>CHOOSE(Drivers!$C$3,'GP automotive'!S23,'GP automotive'!S31,'GP automotive'!S39)</f>
        <v>0.19216312852565895</v>
      </c>
    </row>
    <row r="16" spans="1:19" x14ac:dyDescent="0.25">
      <c r="B16" s="51" t="s">
        <v>95</v>
      </c>
      <c r="C16" s="54"/>
      <c r="D16" s="54"/>
      <c r="E16" s="54"/>
      <c r="F16" s="54"/>
      <c r="G16" s="53">
        <f>CHOOSE(Drivers!$C$3,'GP automotive'!G24,'GP automotive'!G32,'GP automotive'!G40)</f>
        <v>0.19216312852565895</v>
      </c>
      <c r="H16" s="53">
        <f>CHOOSE(Drivers!$C$3,'GP automotive'!H24,'GP automotive'!H32,'GP automotive'!H40)</f>
        <v>0.19216312852565895</v>
      </c>
      <c r="I16" s="53">
        <f>CHOOSE(Drivers!$C$3,'GP automotive'!I24,'GP automotive'!I32,'GP automotive'!I40)</f>
        <v>0.19216312852565895</v>
      </c>
      <c r="J16" s="53">
        <f>CHOOSE(Drivers!$C$3,'GP automotive'!J24,'GP automotive'!J32,'GP automotive'!J40)</f>
        <v>0.19216312852565895</v>
      </c>
      <c r="K16" s="53">
        <f>CHOOSE(Drivers!$C$3,'GP automotive'!K24,'GP automotive'!K32,'GP automotive'!K40)</f>
        <v>0.19216312852565895</v>
      </c>
      <c r="L16" s="53">
        <f>CHOOSE(Drivers!$C$3,'GP automotive'!L24,'GP automotive'!L32,'GP automotive'!L40)</f>
        <v>0.19216312852565895</v>
      </c>
      <c r="M16" s="53">
        <f>CHOOSE(Drivers!$C$3,'GP automotive'!M24,'GP automotive'!M32,'GP automotive'!M40)</f>
        <v>0.19216312852565895</v>
      </c>
      <c r="N16" s="53">
        <f>CHOOSE(Drivers!$C$3,'GP automotive'!N24,'GP automotive'!N32,'GP automotive'!N40)</f>
        <v>0.19216312852565895</v>
      </c>
      <c r="O16" s="53">
        <f>CHOOSE(Drivers!$C$3,'GP automotive'!O24,'GP automotive'!O32,'GP automotive'!O40)</f>
        <v>0.19216312852565895</v>
      </c>
      <c r="P16" s="53">
        <f>CHOOSE(Drivers!$C$3,'GP automotive'!P24,'GP automotive'!P32,'GP automotive'!P40)</f>
        <v>0.19216312852565895</v>
      </c>
      <c r="Q16" s="53">
        <f>CHOOSE(Drivers!$C$3,'GP automotive'!Q24,'GP automotive'!Q32,'GP automotive'!Q40)</f>
        <v>0.19216312852565895</v>
      </c>
      <c r="R16" s="53">
        <f>CHOOSE(Drivers!$C$3,'GP automotive'!R24,'GP automotive'!R32,'GP automotive'!R40)</f>
        <v>0.19216312852565895</v>
      </c>
      <c r="S16" s="53">
        <f>CHOOSE(Drivers!$C$3,'GP automotive'!S24,'GP automotive'!S32,'GP automotive'!S40)</f>
        <v>0.19216312852565895</v>
      </c>
    </row>
    <row r="17" spans="2:19" x14ac:dyDescent="0.25">
      <c r="B17" s="51" t="s">
        <v>97</v>
      </c>
      <c r="C17" s="54"/>
      <c r="D17" s="54"/>
      <c r="E17" s="54"/>
      <c r="F17" s="54"/>
      <c r="G17" s="53">
        <f>CHOOSE(Drivers!$C$3,'GP automotive'!G25,'GP automotive'!G33,'GP automotive'!G41)</f>
        <v>0.39313618860356131</v>
      </c>
      <c r="H17" s="53">
        <f>CHOOSE(Drivers!$C$3,'GP automotive'!H25,'GP automotive'!H33,'GP automotive'!H41)</f>
        <v>0.39313618860356131</v>
      </c>
      <c r="I17" s="53">
        <f>CHOOSE(Drivers!$C$3,'GP automotive'!I25,'GP automotive'!I33,'GP automotive'!I41)</f>
        <v>0.39313618860356131</v>
      </c>
      <c r="J17" s="53">
        <f>CHOOSE(Drivers!$C$3,'GP automotive'!J25,'GP automotive'!J33,'GP automotive'!J41)</f>
        <v>0.39313618860356131</v>
      </c>
      <c r="K17" s="53">
        <f>CHOOSE(Drivers!$C$3,'GP automotive'!K25,'GP automotive'!K33,'GP automotive'!K41)</f>
        <v>0.39313618860356131</v>
      </c>
      <c r="L17" s="53">
        <f>CHOOSE(Drivers!$C$3,'GP automotive'!L25,'GP automotive'!L33,'GP automotive'!L41)</f>
        <v>0.39313618860356131</v>
      </c>
      <c r="M17" s="53">
        <f>CHOOSE(Drivers!$C$3,'GP automotive'!M25,'GP automotive'!M33,'GP automotive'!M41)</f>
        <v>0.39313618860356131</v>
      </c>
      <c r="N17" s="53">
        <f>CHOOSE(Drivers!$C$3,'GP automotive'!N25,'GP automotive'!N33,'GP automotive'!N41)</f>
        <v>0.39313618860356131</v>
      </c>
      <c r="O17" s="53">
        <f>CHOOSE(Drivers!$C$3,'GP automotive'!O25,'GP automotive'!O33,'GP automotive'!O41)</f>
        <v>0.39313618860356131</v>
      </c>
      <c r="P17" s="53">
        <f>CHOOSE(Drivers!$C$3,'GP automotive'!P25,'GP automotive'!P33,'GP automotive'!P41)</f>
        <v>0.39313618860356131</v>
      </c>
      <c r="Q17" s="53">
        <f>CHOOSE(Drivers!$C$3,'GP automotive'!Q25,'GP automotive'!Q33,'GP automotive'!Q41)</f>
        <v>0.39313618860356131</v>
      </c>
      <c r="R17" s="53">
        <f>CHOOSE(Drivers!$C$3,'GP automotive'!R25,'GP automotive'!R33,'GP automotive'!R41)</f>
        <v>0.39313618860356131</v>
      </c>
      <c r="S17" s="53">
        <f>CHOOSE(Drivers!$C$3,'GP automotive'!S25,'GP automotive'!S33,'GP automotive'!S41)</f>
        <v>0.39313618860356131</v>
      </c>
    </row>
    <row r="18" spans="2:19" x14ac:dyDescent="0.25">
      <c r="B18" s="51" t="s">
        <v>96</v>
      </c>
      <c r="C18" s="54"/>
      <c r="D18" s="54"/>
      <c r="E18" s="54"/>
      <c r="F18" s="54"/>
      <c r="G18" s="53">
        <f>CHOOSE(Drivers!$C$3,'GP automotive'!G26,'GP automotive'!G34,'GP automotive'!G42)</f>
        <v>0.12377549275432535</v>
      </c>
      <c r="H18" s="53">
        <f>CHOOSE(Drivers!$C$3,'GP automotive'!H26,'GP automotive'!H34,'GP automotive'!H42)</f>
        <v>0.12377549275432535</v>
      </c>
      <c r="I18" s="53">
        <f>CHOOSE(Drivers!$C$3,'GP automotive'!I26,'GP automotive'!I34,'GP automotive'!I42)</f>
        <v>0.12377549275432535</v>
      </c>
      <c r="J18" s="53">
        <f>CHOOSE(Drivers!$C$3,'GP automotive'!J26,'GP automotive'!J34,'GP automotive'!J42)</f>
        <v>0.12377549275432535</v>
      </c>
      <c r="K18" s="53">
        <f>CHOOSE(Drivers!$C$3,'GP automotive'!K26,'GP automotive'!K34,'GP automotive'!K42)</f>
        <v>0.12377549275432535</v>
      </c>
      <c r="L18" s="53">
        <f>CHOOSE(Drivers!$C$3,'GP automotive'!L26,'GP automotive'!L34,'GP automotive'!L42)</f>
        <v>0.12377549275432535</v>
      </c>
      <c r="M18" s="53">
        <f>CHOOSE(Drivers!$C$3,'GP automotive'!M26,'GP automotive'!M34,'GP automotive'!M42)</f>
        <v>0.12377549275432535</v>
      </c>
      <c r="N18" s="53">
        <f>CHOOSE(Drivers!$C$3,'GP automotive'!N26,'GP automotive'!N34,'GP automotive'!N42)</f>
        <v>0.12377549275432535</v>
      </c>
      <c r="O18" s="53">
        <f>CHOOSE(Drivers!$C$3,'GP automotive'!O26,'GP automotive'!O34,'GP automotive'!O42)</f>
        <v>0.12377549275432535</v>
      </c>
      <c r="P18" s="53">
        <f>CHOOSE(Drivers!$C$3,'GP automotive'!P26,'GP automotive'!P34,'GP automotive'!P42)</f>
        <v>0.12377549275432535</v>
      </c>
      <c r="Q18" s="53">
        <f>CHOOSE(Drivers!$C$3,'GP automotive'!Q26,'GP automotive'!Q34,'GP automotive'!Q42)</f>
        <v>0.12377549275432535</v>
      </c>
      <c r="R18" s="53">
        <f>CHOOSE(Drivers!$C$3,'GP automotive'!R26,'GP automotive'!R34,'GP automotive'!R42)</f>
        <v>0.12377549275432535</v>
      </c>
      <c r="S18" s="53">
        <f>CHOOSE(Drivers!$C$3,'GP automotive'!S26,'GP automotive'!S34,'GP automotive'!S42)</f>
        <v>0.12377549275432535</v>
      </c>
    </row>
    <row r="19" spans="2:19" x14ac:dyDescent="0.25">
      <c r="B19" s="51" t="s">
        <v>93</v>
      </c>
      <c r="C19" s="54"/>
      <c r="D19" s="54"/>
      <c r="E19" s="54"/>
      <c r="F19" s="54"/>
      <c r="G19" s="53">
        <f>CHOOSE(Drivers!$C$3,'GP automotive'!G27,'GP automotive'!G35,'GP automotive'!G43)</f>
        <v>0.19168817457726836</v>
      </c>
      <c r="H19" s="53">
        <f>CHOOSE(Drivers!$C$3,'GP automotive'!H27,'GP automotive'!H35,'GP automotive'!H43)</f>
        <v>0.19168817457726836</v>
      </c>
      <c r="I19" s="53">
        <f>CHOOSE(Drivers!$C$3,'GP automotive'!I27,'GP automotive'!I35,'GP automotive'!I43)</f>
        <v>0.19168817457726836</v>
      </c>
      <c r="J19" s="53">
        <f>CHOOSE(Drivers!$C$3,'GP automotive'!J27,'GP automotive'!J35,'GP automotive'!J43)</f>
        <v>0.19168817457726836</v>
      </c>
      <c r="K19" s="53">
        <f>CHOOSE(Drivers!$C$3,'GP automotive'!K27,'GP automotive'!K35,'GP automotive'!K43)</f>
        <v>0.19168817457726836</v>
      </c>
      <c r="L19" s="53">
        <f>CHOOSE(Drivers!$C$3,'GP automotive'!L27,'GP automotive'!L35,'GP automotive'!L43)</f>
        <v>0.19168817457726836</v>
      </c>
      <c r="M19" s="53">
        <f>CHOOSE(Drivers!$C$3,'GP automotive'!M27,'GP automotive'!M35,'GP automotive'!M43)</f>
        <v>0.19168817457726836</v>
      </c>
      <c r="N19" s="53">
        <f>CHOOSE(Drivers!$C$3,'GP automotive'!N27,'GP automotive'!N35,'GP automotive'!N43)</f>
        <v>0.19168817457726836</v>
      </c>
      <c r="O19" s="53">
        <f>CHOOSE(Drivers!$C$3,'GP automotive'!O27,'GP automotive'!O35,'GP automotive'!O43)</f>
        <v>0.19168817457726836</v>
      </c>
      <c r="P19" s="53">
        <f>CHOOSE(Drivers!$C$3,'GP automotive'!P27,'GP automotive'!P35,'GP automotive'!P43)</f>
        <v>0.19168817457726836</v>
      </c>
      <c r="Q19" s="53">
        <f>CHOOSE(Drivers!$C$3,'GP automotive'!Q27,'GP automotive'!Q35,'GP automotive'!Q43)</f>
        <v>0.19168817457726836</v>
      </c>
      <c r="R19" s="53">
        <f>CHOOSE(Drivers!$C$3,'GP automotive'!R27,'GP automotive'!R35,'GP automotive'!R43)</f>
        <v>0.19168817457726836</v>
      </c>
      <c r="S19" s="53">
        <f>CHOOSE(Drivers!$C$3,'GP automotive'!S27,'GP automotive'!S35,'GP automotive'!S43)</f>
        <v>0.19168817457726836</v>
      </c>
    </row>
    <row r="20" spans="2:19" x14ac:dyDescent="0.25">
      <c r="B20" s="51"/>
      <c r="C20" s="54"/>
      <c r="D20" s="54"/>
      <c r="E20" s="54"/>
      <c r="F20" s="54"/>
      <c r="G20" s="54"/>
      <c r="H20" s="54"/>
      <c r="I20" s="54"/>
      <c r="J20" s="54"/>
      <c r="K20" s="52"/>
      <c r="L20" s="52"/>
      <c r="M20" s="52"/>
      <c r="N20" s="52"/>
      <c r="O20" s="52"/>
      <c r="P20" s="52"/>
      <c r="Q20" s="52"/>
      <c r="R20" s="52"/>
      <c r="S20" s="52"/>
    </row>
    <row r="21" spans="2:19" x14ac:dyDescent="0.25">
      <c r="B21" s="50" t="s">
        <v>69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</row>
    <row r="22" spans="2:19" x14ac:dyDescent="0.25">
      <c r="B22" s="51" t="s">
        <v>94</v>
      </c>
      <c r="C22" s="54"/>
      <c r="D22" s="54"/>
      <c r="E22" s="54"/>
      <c r="F22" s="54"/>
      <c r="G22" s="53">
        <f>G30+1.5%</f>
        <v>0.13877549275432535</v>
      </c>
      <c r="H22" s="53">
        <f t="shared" ref="H22:S22" si="3">H30+1.5%</f>
        <v>0.13877549275432535</v>
      </c>
      <c r="I22" s="53">
        <f t="shared" si="3"/>
        <v>0.13877549275432535</v>
      </c>
      <c r="J22" s="53">
        <f t="shared" si="3"/>
        <v>0.13877549275432535</v>
      </c>
      <c r="K22" s="53">
        <f t="shared" si="3"/>
        <v>0.13877549275432535</v>
      </c>
      <c r="L22" s="53">
        <f t="shared" si="3"/>
        <v>0.13877549275432535</v>
      </c>
      <c r="M22" s="53">
        <f t="shared" si="3"/>
        <v>0.13877549275432535</v>
      </c>
      <c r="N22" s="53">
        <f t="shared" si="3"/>
        <v>0.13877549275432535</v>
      </c>
      <c r="O22" s="53">
        <f t="shared" si="3"/>
        <v>0.13877549275432535</v>
      </c>
      <c r="P22" s="53">
        <f t="shared" si="3"/>
        <v>0.13877549275432535</v>
      </c>
      <c r="Q22" s="53">
        <f t="shared" si="3"/>
        <v>0.13877549275432535</v>
      </c>
      <c r="R22" s="53">
        <f t="shared" si="3"/>
        <v>0.13877549275432535</v>
      </c>
      <c r="S22" s="53">
        <f t="shared" si="3"/>
        <v>0.13877549275432535</v>
      </c>
    </row>
    <row r="23" spans="2:19" x14ac:dyDescent="0.25">
      <c r="B23" s="51" t="s">
        <v>100</v>
      </c>
      <c r="C23" s="54"/>
      <c r="D23" s="38"/>
      <c r="E23" s="38"/>
      <c r="F23" s="38"/>
      <c r="G23" s="53">
        <f t="shared" ref="G23:S23" si="4">G31+1.5%</f>
        <v>0.20716312852565893</v>
      </c>
      <c r="H23" s="53">
        <f t="shared" si="4"/>
        <v>0.20716312852565893</v>
      </c>
      <c r="I23" s="53">
        <f t="shared" si="4"/>
        <v>0.20716312852565893</v>
      </c>
      <c r="J23" s="53">
        <f t="shared" si="4"/>
        <v>0.20716312852565893</v>
      </c>
      <c r="K23" s="53">
        <f t="shared" si="4"/>
        <v>0.20716312852565893</v>
      </c>
      <c r="L23" s="53">
        <f t="shared" si="4"/>
        <v>0.20716312852565893</v>
      </c>
      <c r="M23" s="53">
        <f t="shared" si="4"/>
        <v>0.20716312852565893</v>
      </c>
      <c r="N23" s="53">
        <f t="shared" si="4"/>
        <v>0.20716312852565893</v>
      </c>
      <c r="O23" s="53">
        <f t="shared" si="4"/>
        <v>0.20716312852565893</v>
      </c>
      <c r="P23" s="53">
        <f t="shared" si="4"/>
        <v>0.20716312852565893</v>
      </c>
      <c r="Q23" s="53">
        <f t="shared" si="4"/>
        <v>0.20716312852565893</v>
      </c>
      <c r="R23" s="53">
        <f t="shared" si="4"/>
        <v>0.20716312852565893</v>
      </c>
      <c r="S23" s="53">
        <f t="shared" si="4"/>
        <v>0.20716312852565893</v>
      </c>
    </row>
    <row r="24" spans="2:19" x14ac:dyDescent="0.25">
      <c r="B24" s="51" t="s">
        <v>95</v>
      </c>
      <c r="C24" s="54"/>
      <c r="D24" s="54"/>
      <c r="E24" s="54"/>
      <c r="F24" s="54"/>
      <c r="G24" s="53">
        <f t="shared" ref="G24:S24" si="5">G32+1.5%</f>
        <v>0.20716312852565893</v>
      </c>
      <c r="H24" s="53">
        <f t="shared" si="5"/>
        <v>0.20716312852565893</v>
      </c>
      <c r="I24" s="53">
        <f t="shared" si="5"/>
        <v>0.20716312852565893</v>
      </c>
      <c r="J24" s="53">
        <f t="shared" si="5"/>
        <v>0.20716312852565893</v>
      </c>
      <c r="K24" s="53">
        <f t="shared" si="5"/>
        <v>0.20716312852565893</v>
      </c>
      <c r="L24" s="53">
        <f t="shared" si="5"/>
        <v>0.20716312852565893</v>
      </c>
      <c r="M24" s="53">
        <f t="shared" si="5"/>
        <v>0.20716312852565893</v>
      </c>
      <c r="N24" s="53">
        <f t="shared" si="5"/>
        <v>0.20716312852565893</v>
      </c>
      <c r="O24" s="53">
        <f t="shared" si="5"/>
        <v>0.20716312852565893</v>
      </c>
      <c r="P24" s="53">
        <f t="shared" si="5"/>
        <v>0.20716312852565893</v>
      </c>
      <c r="Q24" s="53">
        <f t="shared" si="5"/>
        <v>0.20716312852565893</v>
      </c>
      <c r="R24" s="53">
        <f t="shared" si="5"/>
        <v>0.20716312852565893</v>
      </c>
      <c r="S24" s="53">
        <f t="shared" si="5"/>
        <v>0.20716312852565893</v>
      </c>
    </row>
    <row r="25" spans="2:19" x14ac:dyDescent="0.25">
      <c r="B25" s="51" t="s">
        <v>97</v>
      </c>
      <c r="C25" s="54"/>
      <c r="D25" s="54"/>
      <c r="E25" s="54"/>
      <c r="F25" s="54"/>
      <c r="G25" s="53">
        <f t="shared" ref="G25:S25" si="6">G33+1.5%</f>
        <v>0.40813618860356132</v>
      </c>
      <c r="H25" s="53">
        <f t="shared" si="6"/>
        <v>0.40813618860356132</v>
      </c>
      <c r="I25" s="53">
        <f t="shared" si="6"/>
        <v>0.40813618860356132</v>
      </c>
      <c r="J25" s="53">
        <f t="shared" si="6"/>
        <v>0.40813618860356132</v>
      </c>
      <c r="K25" s="53">
        <f t="shared" si="6"/>
        <v>0.40813618860356132</v>
      </c>
      <c r="L25" s="53">
        <f t="shared" si="6"/>
        <v>0.40813618860356132</v>
      </c>
      <c r="M25" s="53">
        <f t="shared" si="6"/>
        <v>0.40813618860356132</v>
      </c>
      <c r="N25" s="53">
        <f t="shared" si="6"/>
        <v>0.40813618860356132</v>
      </c>
      <c r="O25" s="53">
        <f t="shared" si="6"/>
        <v>0.40813618860356132</v>
      </c>
      <c r="P25" s="53">
        <f t="shared" si="6"/>
        <v>0.40813618860356132</v>
      </c>
      <c r="Q25" s="53">
        <f t="shared" si="6"/>
        <v>0.40813618860356132</v>
      </c>
      <c r="R25" s="53">
        <f t="shared" si="6"/>
        <v>0.40813618860356132</v>
      </c>
      <c r="S25" s="53">
        <f t="shared" si="6"/>
        <v>0.40813618860356132</v>
      </c>
    </row>
    <row r="26" spans="2:19" x14ac:dyDescent="0.25">
      <c r="B26" s="51" t="s">
        <v>96</v>
      </c>
      <c r="C26" s="54"/>
      <c r="D26" s="54"/>
      <c r="E26" s="54"/>
      <c r="F26" s="54"/>
      <c r="G26" s="53">
        <f t="shared" ref="G26:S26" si="7">G34+1.5%</f>
        <v>0.13877549275432535</v>
      </c>
      <c r="H26" s="53">
        <f t="shared" si="7"/>
        <v>0.13877549275432535</v>
      </c>
      <c r="I26" s="53">
        <f t="shared" si="7"/>
        <v>0.13877549275432535</v>
      </c>
      <c r="J26" s="53">
        <f t="shared" si="7"/>
        <v>0.13877549275432535</v>
      </c>
      <c r="K26" s="53">
        <f t="shared" si="7"/>
        <v>0.13877549275432535</v>
      </c>
      <c r="L26" s="53">
        <f t="shared" si="7"/>
        <v>0.13877549275432535</v>
      </c>
      <c r="M26" s="53">
        <f t="shared" si="7"/>
        <v>0.13877549275432535</v>
      </c>
      <c r="N26" s="53">
        <f t="shared" si="7"/>
        <v>0.13877549275432535</v>
      </c>
      <c r="O26" s="53">
        <f t="shared" si="7"/>
        <v>0.13877549275432535</v>
      </c>
      <c r="P26" s="53">
        <f t="shared" si="7"/>
        <v>0.13877549275432535</v>
      </c>
      <c r="Q26" s="53">
        <f t="shared" si="7"/>
        <v>0.13877549275432535</v>
      </c>
      <c r="R26" s="53">
        <f t="shared" si="7"/>
        <v>0.13877549275432535</v>
      </c>
      <c r="S26" s="53">
        <f t="shared" si="7"/>
        <v>0.13877549275432535</v>
      </c>
    </row>
    <row r="27" spans="2:19" x14ac:dyDescent="0.25">
      <c r="B27" s="51" t="s">
        <v>93</v>
      </c>
      <c r="C27" s="54"/>
      <c r="D27" s="54"/>
      <c r="E27" s="54"/>
      <c r="F27" s="54"/>
      <c r="G27" s="53">
        <f t="shared" ref="G27:S27" si="8">G35+1.5%</f>
        <v>0.20668817457726835</v>
      </c>
      <c r="H27" s="53">
        <f t="shared" si="8"/>
        <v>0.20668817457726835</v>
      </c>
      <c r="I27" s="53">
        <f t="shared" si="8"/>
        <v>0.20668817457726835</v>
      </c>
      <c r="J27" s="53">
        <f t="shared" si="8"/>
        <v>0.20668817457726835</v>
      </c>
      <c r="K27" s="53">
        <f t="shared" si="8"/>
        <v>0.20668817457726835</v>
      </c>
      <c r="L27" s="53">
        <f t="shared" si="8"/>
        <v>0.20668817457726835</v>
      </c>
      <c r="M27" s="53">
        <f t="shared" si="8"/>
        <v>0.20668817457726835</v>
      </c>
      <c r="N27" s="53">
        <f t="shared" si="8"/>
        <v>0.20668817457726835</v>
      </c>
      <c r="O27" s="53">
        <f t="shared" si="8"/>
        <v>0.20668817457726835</v>
      </c>
      <c r="P27" s="53">
        <f t="shared" si="8"/>
        <v>0.20668817457726835</v>
      </c>
      <c r="Q27" s="53">
        <f t="shared" si="8"/>
        <v>0.20668817457726835</v>
      </c>
      <c r="R27" s="53">
        <f t="shared" si="8"/>
        <v>0.20668817457726835</v>
      </c>
      <c r="S27" s="53">
        <f t="shared" si="8"/>
        <v>0.20668817457726835</v>
      </c>
    </row>
    <row r="28" spans="2:19" x14ac:dyDescent="0.25">
      <c r="B28" s="51"/>
      <c r="C28" s="54"/>
      <c r="D28" s="54"/>
      <c r="E28" s="54"/>
      <c r="F28" s="54"/>
      <c r="G28" s="54"/>
      <c r="H28" s="54"/>
      <c r="I28" s="54"/>
      <c r="J28" s="54"/>
      <c r="K28" s="52"/>
      <c r="L28" s="52"/>
      <c r="M28" s="52"/>
      <c r="N28" s="52"/>
      <c r="O28" s="52"/>
      <c r="P28" s="52"/>
      <c r="Q28" s="52"/>
      <c r="R28" s="52"/>
      <c r="S28" s="52"/>
    </row>
    <row r="29" spans="2:19" x14ac:dyDescent="0.25">
      <c r="B29" s="50" t="s">
        <v>70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</row>
    <row r="30" spans="2:19" x14ac:dyDescent="0.25">
      <c r="B30" s="51" t="s">
        <v>94</v>
      </c>
      <c r="C30" s="54"/>
      <c r="D30" s="54"/>
      <c r="E30" s="54"/>
      <c r="F30" s="54"/>
      <c r="G30" s="53">
        <f>'GP% automotive'!$H6</f>
        <v>0.12377549275432535</v>
      </c>
      <c r="H30" s="53">
        <f>'GP% automotive'!$H6</f>
        <v>0.12377549275432535</v>
      </c>
      <c r="I30" s="53">
        <f>'GP% automotive'!$H6</f>
        <v>0.12377549275432535</v>
      </c>
      <c r="J30" s="53">
        <f>'GP% automotive'!$H6</f>
        <v>0.12377549275432535</v>
      </c>
      <c r="K30" s="53">
        <f>'GP% automotive'!$H6</f>
        <v>0.12377549275432535</v>
      </c>
      <c r="L30" s="53">
        <f>'GP% automotive'!$H6</f>
        <v>0.12377549275432535</v>
      </c>
      <c r="M30" s="53">
        <f>'GP% automotive'!$H6</f>
        <v>0.12377549275432535</v>
      </c>
      <c r="N30" s="53">
        <f>'GP% automotive'!$H6</f>
        <v>0.12377549275432535</v>
      </c>
      <c r="O30" s="53">
        <f>'GP% automotive'!$H6</f>
        <v>0.12377549275432535</v>
      </c>
      <c r="P30" s="53">
        <f>'GP% automotive'!$H6</f>
        <v>0.12377549275432535</v>
      </c>
      <c r="Q30" s="53">
        <f>'GP% automotive'!$H6</f>
        <v>0.12377549275432535</v>
      </c>
      <c r="R30" s="53">
        <f>'GP% automotive'!$H6</f>
        <v>0.12377549275432535</v>
      </c>
      <c r="S30" s="53">
        <f>'GP% automotive'!$H6</f>
        <v>0.12377549275432535</v>
      </c>
    </row>
    <row r="31" spans="2:19" x14ac:dyDescent="0.25">
      <c r="B31" s="51" t="s">
        <v>100</v>
      </c>
      <c r="C31" s="54"/>
      <c r="D31" s="38"/>
      <c r="E31" s="38"/>
      <c r="F31" s="38"/>
      <c r="G31" s="53">
        <f>'GP% automotive'!$H7</f>
        <v>0.19216312852565895</v>
      </c>
      <c r="H31" s="53">
        <f>'GP% automotive'!$H7</f>
        <v>0.19216312852565895</v>
      </c>
      <c r="I31" s="53">
        <f>'GP% automotive'!$H7</f>
        <v>0.19216312852565895</v>
      </c>
      <c r="J31" s="53">
        <f>'GP% automotive'!$H7</f>
        <v>0.19216312852565895</v>
      </c>
      <c r="K31" s="53">
        <f>'GP% automotive'!$H7</f>
        <v>0.19216312852565895</v>
      </c>
      <c r="L31" s="53">
        <f>'GP% automotive'!$H7</f>
        <v>0.19216312852565895</v>
      </c>
      <c r="M31" s="53">
        <f>'GP% automotive'!$H7</f>
        <v>0.19216312852565895</v>
      </c>
      <c r="N31" s="53">
        <f>'GP% automotive'!$H7</f>
        <v>0.19216312852565895</v>
      </c>
      <c r="O31" s="53">
        <f>'GP% automotive'!$H7</f>
        <v>0.19216312852565895</v>
      </c>
      <c r="P31" s="53">
        <f>'GP% automotive'!$H7</f>
        <v>0.19216312852565895</v>
      </c>
      <c r="Q31" s="53">
        <f>'GP% automotive'!$H7</f>
        <v>0.19216312852565895</v>
      </c>
      <c r="R31" s="53">
        <f>'GP% automotive'!$H7</f>
        <v>0.19216312852565895</v>
      </c>
      <c r="S31" s="53">
        <f>'GP% automotive'!$H7</f>
        <v>0.19216312852565895</v>
      </c>
    </row>
    <row r="32" spans="2:19" x14ac:dyDescent="0.25">
      <c r="B32" s="51" t="s">
        <v>95</v>
      </c>
      <c r="C32" s="54"/>
      <c r="D32" s="54"/>
      <c r="E32" s="54"/>
      <c r="F32" s="54"/>
      <c r="G32" s="53">
        <f>'GP% automotive'!$H8</f>
        <v>0.19216312852565895</v>
      </c>
      <c r="H32" s="53">
        <f>'GP% automotive'!$H8</f>
        <v>0.19216312852565895</v>
      </c>
      <c r="I32" s="53">
        <f>'GP% automotive'!$H8</f>
        <v>0.19216312852565895</v>
      </c>
      <c r="J32" s="53">
        <f>'GP% automotive'!$H8</f>
        <v>0.19216312852565895</v>
      </c>
      <c r="K32" s="53">
        <f>'GP% automotive'!$H8</f>
        <v>0.19216312852565895</v>
      </c>
      <c r="L32" s="53">
        <f>'GP% automotive'!$H8</f>
        <v>0.19216312852565895</v>
      </c>
      <c r="M32" s="53">
        <f>'GP% automotive'!$H8</f>
        <v>0.19216312852565895</v>
      </c>
      <c r="N32" s="53">
        <f>'GP% automotive'!$H8</f>
        <v>0.19216312852565895</v>
      </c>
      <c r="O32" s="53">
        <f>'GP% automotive'!$H8</f>
        <v>0.19216312852565895</v>
      </c>
      <c r="P32" s="53">
        <f>'GP% automotive'!$H8</f>
        <v>0.19216312852565895</v>
      </c>
      <c r="Q32" s="53">
        <f>'GP% automotive'!$H8</f>
        <v>0.19216312852565895</v>
      </c>
      <c r="R32" s="53">
        <f>'GP% automotive'!$H8</f>
        <v>0.19216312852565895</v>
      </c>
      <c r="S32" s="53">
        <f>'GP% automotive'!$H8</f>
        <v>0.19216312852565895</v>
      </c>
    </row>
    <row r="33" spans="2:19" x14ac:dyDescent="0.25">
      <c r="B33" s="51" t="s">
        <v>97</v>
      </c>
      <c r="C33" s="54"/>
      <c r="D33" s="54"/>
      <c r="E33" s="54"/>
      <c r="F33" s="54"/>
      <c r="G33" s="53">
        <f>'GP% automotive'!$H9</f>
        <v>0.39313618860356131</v>
      </c>
      <c r="H33" s="53">
        <f>'GP% automotive'!$H9</f>
        <v>0.39313618860356131</v>
      </c>
      <c r="I33" s="53">
        <f>'GP% automotive'!$H9</f>
        <v>0.39313618860356131</v>
      </c>
      <c r="J33" s="53">
        <f>'GP% automotive'!$H9</f>
        <v>0.39313618860356131</v>
      </c>
      <c r="K33" s="53">
        <f>'GP% automotive'!$H9</f>
        <v>0.39313618860356131</v>
      </c>
      <c r="L33" s="53">
        <f>'GP% automotive'!$H9</f>
        <v>0.39313618860356131</v>
      </c>
      <c r="M33" s="53">
        <f>'GP% automotive'!$H9</f>
        <v>0.39313618860356131</v>
      </c>
      <c r="N33" s="53">
        <f>'GP% automotive'!$H9</f>
        <v>0.39313618860356131</v>
      </c>
      <c r="O33" s="53">
        <f>'GP% automotive'!$H9</f>
        <v>0.39313618860356131</v>
      </c>
      <c r="P33" s="53">
        <f>'GP% automotive'!$H9</f>
        <v>0.39313618860356131</v>
      </c>
      <c r="Q33" s="53">
        <f>'GP% automotive'!$H9</f>
        <v>0.39313618860356131</v>
      </c>
      <c r="R33" s="53">
        <f>'GP% automotive'!$H9</f>
        <v>0.39313618860356131</v>
      </c>
      <c r="S33" s="53">
        <f>'GP% automotive'!$H9</f>
        <v>0.39313618860356131</v>
      </c>
    </row>
    <row r="34" spans="2:19" x14ac:dyDescent="0.25">
      <c r="B34" s="51" t="s">
        <v>96</v>
      </c>
      <c r="C34" s="54"/>
      <c r="D34" s="54"/>
      <c r="E34" s="54"/>
      <c r="F34" s="54"/>
      <c r="G34" s="53">
        <f>'GP% automotive'!$H10</f>
        <v>0.12377549275432535</v>
      </c>
      <c r="H34" s="53">
        <f>'GP% automotive'!$H10</f>
        <v>0.12377549275432535</v>
      </c>
      <c r="I34" s="53">
        <f>'GP% automotive'!$H10</f>
        <v>0.12377549275432535</v>
      </c>
      <c r="J34" s="53">
        <f>'GP% automotive'!$H10</f>
        <v>0.12377549275432535</v>
      </c>
      <c r="K34" s="53">
        <f>'GP% automotive'!$H10</f>
        <v>0.12377549275432535</v>
      </c>
      <c r="L34" s="53">
        <f>'GP% automotive'!$H10</f>
        <v>0.12377549275432535</v>
      </c>
      <c r="M34" s="53">
        <f>'GP% automotive'!$H10</f>
        <v>0.12377549275432535</v>
      </c>
      <c r="N34" s="53">
        <f>'GP% automotive'!$H10</f>
        <v>0.12377549275432535</v>
      </c>
      <c r="O34" s="53">
        <f>'GP% automotive'!$H10</f>
        <v>0.12377549275432535</v>
      </c>
      <c r="P34" s="53">
        <f>'GP% automotive'!$H10</f>
        <v>0.12377549275432535</v>
      </c>
      <c r="Q34" s="53">
        <f>'GP% automotive'!$H10</f>
        <v>0.12377549275432535</v>
      </c>
      <c r="R34" s="53">
        <f>'GP% automotive'!$H10</f>
        <v>0.12377549275432535</v>
      </c>
      <c r="S34" s="53">
        <f>'GP% automotive'!$H10</f>
        <v>0.12377549275432535</v>
      </c>
    </row>
    <row r="35" spans="2:19" x14ac:dyDescent="0.25">
      <c r="B35" s="51" t="s">
        <v>93</v>
      </c>
      <c r="C35" s="54"/>
      <c r="D35" s="54"/>
      <c r="E35" s="54"/>
      <c r="F35" s="54"/>
      <c r="G35" s="53">
        <f>'GP% automotive'!$H11</f>
        <v>0.19168817457726836</v>
      </c>
      <c r="H35" s="53">
        <f>'GP% automotive'!$H11</f>
        <v>0.19168817457726836</v>
      </c>
      <c r="I35" s="53">
        <f>'GP% automotive'!$H11</f>
        <v>0.19168817457726836</v>
      </c>
      <c r="J35" s="53">
        <f>'GP% automotive'!$H11</f>
        <v>0.19168817457726836</v>
      </c>
      <c r="K35" s="53">
        <f>'GP% automotive'!$H11</f>
        <v>0.19168817457726836</v>
      </c>
      <c r="L35" s="53">
        <f>'GP% automotive'!$H11</f>
        <v>0.19168817457726836</v>
      </c>
      <c r="M35" s="53">
        <f>'GP% automotive'!$H11</f>
        <v>0.19168817457726836</v>
      </c>
      <c r="N35" s="53">
        <f>'GP% automotive'!$H11</f>
        <v>0.19168817457726836</v>
      </c>
      <c r="O35" s="53">
        <f>'GP% automotive'!$H11</f>
        <v>0.19168817457726836</v>
      </c>
      <c r="P35" s="53">
        <f>'GP% automotive'!$H11</f>
        <v>0.19168817457726836</v>
      </c>
      <c r="Q35" s="53">
        <f>'GP% automotive'!$H11</f>
        <v>0.19168817457726836</v>
      </c>
      <c r="R35" s="53">
        <f>'GP% automotive'!$H11</f>
        <v>0.19168817457726836</v>
      </c>
      <c r="S35" s="53">
        <f>'GP% automotive'!$H11</f>
        <v>0.19168817457726836</v>
      </c>
    </row>
    <row r="36" spans="2:19" x14ac:dyDescent="0.25">
      <c r="B36" s="51"/>
      <c r="C36" s="54"/>
      <c r="D36" s="54"/>
      <c r="E36" s="54"/>
      <c r="F36" s="54"/>
      <c r="G36" s="54"/>
      <c r="H36" s="54"/>
      <c r="I36" s="54"/>
      <c r="J36" s="54"/>
      <c r="K36" s="52"/>
      <c r="L36" s="52"/>
      <c r="M36" s="52"/>
      <c r="N36" s="52"/>
      <c r="O36" s="52"/>
      <c r="P36" s="52"/>
      <c r="Q36" s="52"/>
      <c r="R36" s="52"/>
      <c r="S36" s="52"/>
    </row>
    <row r="37" spans="2:19" x14ac:dyDescent="0.25">
      <c r="B37" s="50" t="s">
        <v>71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</row>
    <row r="38" spans="2:19" x14ac:dyDescent="0.25">
      <c r="B38" s="51" t="s">
        <v>94</v>
      </c>
      <c r="C38" s="54"/>
      <c r="D38" s="54"/>
      <c r="E38" s="54"/>
      <c r="F38" s="54"/>
      <c r="G38" s="53">
        <f>G30-1.5%</f>
        <v>0.10877549275432535</v>
      </c>
      <c r="H38" s="53">
        <f t="shared" ref="H38:S38" si="9">H30-1.5%</f>
        <v>0.10877549275432535</v>
      </c>
      <c r="I38" s="53">
        <f t="shared" si="9"/>
        <v>0.10877549275432535</v>
      </c>
      <c r="J38" s="53">
        <f t="shared" si="9"/>
        <v>0.10877549275432535</v>
      </c>
      <c r="K38" s="53">
        <f t="shared" si="9"/>
        <v>0.10877549275432535</v>
      </c>
      <c r="L38" s="53">
        <f t="shared" si="9"/>
        <v>0.10877549275432535</v>
      </c>
      <c r="M38" s="53">
        <f t="shared" si="9"/>
        <v>0.10877549275432535</v>
      </c>
      <c r="N38" s="53">
        <f t="shared" si="9"/>
        <v>0.10877549275432535</v>
      </c>
      <c r="O38" s="53">
        <f t="shared" si="9"/>
        <v>0.10877549275432535</v>
      </c>
      <c r="P38" s="53">
        <f t="shared" si="9"/>
        <v>0.10877549275432535</v>
      </c>
      <c r="Q38" s="53">
        <f t="shared" si="9"/>
        <v>0.10877549275432535</v>
      </c>
      <c r="R38" s="53">
        <f t="shared" si="9"/>
        <v>0.10877549275432535</v>
      </c>
      <c r="S38" s="53">
        <f t="shared" si="9"/>
        <v>0.10877549275432535</v>
      </c>
    </row>
    <row r="39" spans="2:19" x14ac:dyDescent="0.25">
      <c r="B39" s="51" t="s">
        <v>100</v>
      </c>
      <c r="C39" s="54"/>
      <c r="D39" s="38"/>
      <c r="E39" s="38"/>
      <c r="F39" s="38"/>
      <c r="G39" s="53">
        <f t="shared" ref="G39:S39" si="10">G31-1.5%</f>
        <v>0.17716312852565896</v>
      </c>
      <c r="H39" s="53">
        <f t="shared" si="10"/>
        <v>0.17716312852565896</v>
      </c>
      <c r="I39" s="53">
        <f t="shared" si="10"/>
        <v>0.17716312852565896</v>
      </c>
      <c r="J39" s="53">
        <f t="shared" si="10"/>
        <v>0.17716312852565896</v>
      </c>
      <c r="K39" s="53">
        <f t="shared" si="10"/>
        <v>0.17716312852565896</v>
      </c>
      <c r="L39" s="53">
        <f t="shared" si="10"/>
        <v>0.17716312852565896</v>
      </c>
      <c r="M39" s="53">
        <f t="shared" si="10"/>
        <v>0.17716312852565896</v>
      </c>
      <c r="N39" s="53">
        <f t="shared" si="10"/>
        <v>0.17716312852565896</v>
      </c>
      <c r="O39" s="53">
        <f t="shared" si="10"/>
        <v>0.17716312852565896</v>
      </c>
      <c r="P39" s="53">
        <f t="shared" si="10"/>
        <v>0.17716312852565896</v>
      </c>
      <c r="Q39" s="53">
        <f t="shared" si="10"/>
        <v>0.17716312852565896</v>
      </c>
      <c r="R39" s="53">
        <f t="shared" si="10"/>
        <v>0.17716312852565896</v>
      </c>
      <c r="S39" s="53">
        <f t="shared" si="10"/>
        <v>0.17716312852565896</v>
      </c>
    </row>
    <row r="40" spans="2:19" x14ac:dyDescent="0.25">
      <c r="B40" s="51" t="s">
        <v>95</v>
      </c>
      <c r="C40" s="54"/>
      <c r="D40" s="54"/>
      <c r="E40" s="54"/>
      <c r="F40" s="54"/>
      <c r="G40" s="53">
        <f t="shared" ref="G40:S40" si="11">G32-1.5%</f>
        <v>0.17716312852565896</v>
      </c>
      <c r="H40" s="53">
        <f t="shared" si="11"/>
        <v>0.17716312852565896</v>
      </c>
      <c r="I40" s="53">
        <f t="shared" si="11"/>
        <v>0.17716312852565896</v>
      </c>
      <c r="J40" s="53">
        <f t="shared" si="11"/>
        <v>0.17716312852565896</v>
      </c>
      <c r="K40" s="53">
        <f t="shared" si="11"/>
        <v>0.17716312852565896</v>
      </c>
      <c r="L40" s="53">
        <f t="shared" si="11"/>
        <v>0.17716312852565896</v>
      </c>
      <c r="M40" s="53">
        <f t="shared" si="11"/>
        <v>0.17716312852565896</v>
      </c>
      <c r="N40" s="53">
        <f t="shared" si="11"/>
        <v>0.17716312852565896</v>
      </c>
      <c r="O40" s="53">
        <f t="shared" si="11"/>
        <v>0.17716312852565896</v>
      </c>
      <c r="P40" s="53">
        <f t="shared" si="11"/>
        <v>0.17716312852565896</v>
      </c>
      <c r="Q40" s="53">
        <f t="shared" si="11"/>
        <v>0.17716312852565896</v>
      </c>
      <c r="R40" s="53">
        <f t="shared" si="11"/>
        <v>0.17716312852565896</v>
      </c>
      <c r="S40" s="53">
        <f t="shared" si="11"/>
        <v>0.17716312852565896</v>
      </c>
    </row>
    <row r="41" spans="2:19" x14ac:dyDescent="0.25">
      <c r="B41" s="51" t="s">
        <v>97</v>
      </c>
      <c r="C41" s="54"/>
      <c r="D41" s="54"/>
      <c r="E41" s="54"/>
      <c r="F41" s="54"/>
      <c r="G41" s="53">
        <f t="shared" ref="G41:S41" si="12">G33-1.5%</f>
        <v>0.3781361886035613</v>
      </c>
      <c r="H41" s="53">
        <f t="shared" si="12"/>
        <v>0.3781361886035613</v>
      </c>
      <c r="I41" s="53">
        <f t="shared" si="12"/>
        <v>0.3781361886035613</v>
      </c>
      <c r="J41" s="53">
        <f t="shared" si="12"/>
        <v>0.3781361886035613</v>
      </c>
      <c r="K41" s="53">
        <f t="shared" si="12"/>
        <v>0.3781361886035613</v>
      </c>
      <c r="L41" s="53">
        <f t="shared" si="12"/>
        <v>0.3781361886035613</v>
      </c>
      <c r="M41" s="53">
        <f t="shared" si="12"/>
        <v>0.3781361886035613</v>
      </c>
      <c r="N41" s="53">
        <f t="shared" si="12"/>
        <v>0.3781361886035613</v>
      </c>
      <c r="O41" s="53">
        <f t="shared" si="12"/>
        <v>0.3781361886035613</v>
      </c>
      <c r="P41" s="53">
        <f t="shared" si="12"/>
        <v>0.3781361886035613</v>
      </c>
      <c r="Q41" s="53">
        <f t="shared" si="12"/>
        <v>0.3781361886035613</v>
      </c>
      <c r="R41" s="53">
        <f t="shared" si="12"/>
        <v>0.3781361886035613</v>
      </c>
      <c r="S41" s="53">
        <f t="shared" si="12"/>
        <v>0.3781361886035613</v>
      </c>
    </row>
    <row r="42" spans="2:19" x14ac:dyDescent="0.25">
      <c r="B42" s="51" t="s">
        <v>96</v>
      </c>
      <c r="C42" s="54"/>
      <c r="D42" s="54"/>
      <c r="E42" s="54"/>
      <c r="F42" s="54"/>
      <c r="G42" s="53">
        <f t="shared" ref="G42:S42" si="13">G34-1.5%</f>
        <v>0.10877549275432535</v>
      </c>
      <c r="H42" s="53">
        <f t="shared" si="13"/>
        <v>0.10877549275432535</v>
      </c>
      <c r="I42" s="53">
        <f t="shared" si="13"/>
        <v>0.10877549275432535</v>
      </c>
      <c r="J42" s="53">
        <f t="shared" si="13"/>
        <v>0.10877549275432535</v>
      </c>
      <c r="K42" s="53">
        <f t="shared" si="13"/>
        <v>0.10877549275432535</v>
      </c>
      <c r="L42" s="53">
        <f t="shared" si="13"/>
        <v>0.10877549275432535</v>
      </c>
      <c r="M42" s="53">
        <f t="shared" si="13"/>
        <v>0.10877549275432535</v>
      </c>
      <c r="N42" s="53">
        <f t="shared" si="13"/>
        <v>0.10877549275432535</v>
      </c>
      <c r="O42" s="53">
        <f t="shared" si="13"/>
        <v>0.10877549275432535</v>
      </c>
      <c r="P42" s="53">
        <f t="shared" si="13"/>
        <v>0.10877549275432535</v>
      </c>
      <c r="Q42" s="53">
        <f t="shared" si="13"/>
        <v>0.10877549275432535</v>
      </c>
      <c r="R42" s="53">
        <f t="shared" si="13"/>
        <v>0.10877549275432535</v>
      </c>
      <c r="S42" s="53">
        <f t="shared" si="13"/>
        <v>0.10877549275432535</v>
      </c>
    </row>
    <row r="43" spans="2:19" x14ac:dyDescent="0.25">
      <c r="B43" s="51" t="s">
        <v>93</v>
      </c>
      <c r="C43" s="54"/>
      <c r="D43" s="54"/>
      <c r="E43" s="54"/>
      <c r="F43" s="54"/>
      <c r="G43" s="53">
        <f t="shared" ref="G43:S43" si="14">G35-1.5%</f>
        <v>0.17668817457726838</v>
      </c>
      <c r="H43" s="53">
        <f t="shared" si="14"/>
        <v>0.17668817457726838</v>
      </c>
      <c r="I43" s="53">
        <f t="shared" si="14"/>
        <v>0.17668817457726838</v>
      </c>
      <c r="J43" s="53">
        <f t="shared" si="14"/>
        <v>0.17668817457726838</v>
      </c>
      <c r="K43" s="53">
        <f t="shared" si="14"/>
        <v>0.17668817457726838</v>
      </c>
      <c r="L43" s="53">
        <f t="shared" si="14"/>
        <v>0.17668817457726838</v>
      </c>
      <c r="M43" s="53">
        <f t="shared" si="14"/>
        <v>0.17668817457726838</v>
      </c>
      <c r="N43" s="53">
        <f t="shared" si="14"/>
        <v>0.17668817457726838</v>
      </c>
      <c r="O43" s="53">
        <f t="shared" si="14"/>
        <v>0.17668817457726838</v>
      </c>
      <c r="P43" s="53">
        <f t="shared" si="14"/>
        <v>0.17668817457726838</v>
      </c>
      <c r="Q43" s="53">
        <f t="shared" si="14"/>
        <v>0.17668817457726838</v>
      </c>
      <c r="R43" s="53">
        <f t="shared" si="14"/>
        <v>0.17668817457726838</v>
      </c>
      <c r="S43" s="53">
        <f t="shared" si="14"/>
        <v>0.17668817457726838</v>
      </c>
    </row>
    <row r="44" spans="2:19" x14ac:dyDescent="0.25">
      <c r="B44" s="51"/>
      <c r="C44" s="54"/>
      <c r="D44" s="54"/>
      <c r="E44" s="54"/>
      <c r="F44" s="54"/>
      <c r="G44" s="51"/>
      <c r="H44" s="51"/>
      <c r="I44" s="54"/>
      <c r="J44" s="54"/>
      <c r="K44" s="52"/>
      <c r="L44" s="52"/>
      <c r="M44" s="52"/>
      <c r="N44" s="52"/>
      <c r="O44" s="52"/>
      <c r="P44" s="52"/>
      <c r="Q44" s="52"/>
      <c r="R44" s="52"/>
      <c r="S44" s="52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B1" sqref="B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141</v>
      </c>
    </row>
    <row r="2" spans="1:19" ht="15.6" x14ac:dyDescent="0.25">
      <c r="A2" s="1"/>
      <c r="B2" s="2"/>
    </row>
    <row r="3" spans="1:19" ht="12" x14ac:dyDescent="0.25">
      <c r="C3" s="89" t="s">
        <v>193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20" t="s">
        <v>91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94</v>
      </c>
      <c r="C5" s="32" t="s">
        <v>65</v>
      </c>
      <c r="D5" s="32" t="s">
        <v>65</v>
      </c>
      <c r="E5" s="32" t="s">
        <v>65</v>
      </c>
      <c r="F5" s="32" t="s">
        <v>65</v>
      </c>
      <c r="G5" s="32" t="s">
        <v>65</v>
      </c>
      <c r="H5" s="49">
        <f>-('Revenue automotive'!H5-'GP automotive'!H5)</f>
        <v>-3827.3486476491071</v>
      </c>
      <c r="I5" s="33" t="s">
        <v>65</v>
      </c>
      <c r="J5" s="49">
        <f>-('Revenue automotive'!J5-'GP automotive'!J5)</f>
        <v>-9568.3716191227668</v>
      </c>
      <c r="K5" s="49">
        <f>-('Revenue automotive'!K5-'GP automotive'!K5)</f>
        <v>-15309.394590596428</v>
      </c>
      <c r="L5" s="49">
        <f>-('Revenue automotive'!L5-'GP automotive'!L5)</f>
        <v>-16840.334049656074</v>
      </c>
      <c r="M5" s="49">
        <f>-('Revenue automotive'!M5-'GP automotive'!M5)</f>
        <v>-18524.367454621679</v>
      </c>
      <c r="N5" s="49">
        <f>-('Revenue automotive'!N5-'GP automotive'!N5)</f>
        <v>-19450.585827352763</v>
      </c>
      <c r="O5" s="49">
        <f>-('Revenue automotive'!O5-'GP automotive'!O5)</f>
        <v>-20423.115118720405</v>
      </c>
      <c r="P5" s="49">
        <f>-('Revenue automotive'!P5-'GP automotive'!P5)</f>
        <v>-20831.577421094811</v>
      </c>
      <c r="Q5" s="49">
        <f>-('Revenue automotive'!Q5-'GP automotive'!Q5)</f>
        <v>-21248.208969516709</v>
      </c>
      <c r="R5" s="49">
        <f>-('Revenue automotive'!R5-'GP automotive'!R5)</f>
        <v>-21673.173148907044</v>
      </c>
      <c r="S5" s="49">
        <f>-('Revenue automotive'!S5-'GP automotive'!S5)</f>
        <v>-22106.636611885184</v>
      </c>
    </row>
    <row r="6" spans="1:19" x14ac:dyDescent="0.25">
      <c r="B6" s="8" t="s">
        <v>100</v>
      </c>
      <c r="C6" s="32" t="s">
        <v>65</v>
      </c>
      <c r="D6" s="32" t="s">
        <v>65</v>
      </c>
      <c r="E6" s="32" t="s">
        <v>65</v>
      </c>
      <c r="F6" s="32" t="s">
        <v>65</v>
      </c>
      <c r="G6" s="32" t="s">
        <v>65</v>
      </c>
      <c r="H6" s="49">
        <f>-('Revenue automotive'!H6-'GP automotive'!H6)</f>
        <v>-3951.3320975988709</v>
      </c>
      <c r="I6" s="33" t="s">
        <v>65</v>
      </c>
      <c r="J6" s="49">
        <f>-('Revenue automotive'!J6-'GP automotive'!J6)</f>
        <v>-7209.9440779084944</v>
      </c>
      <c r="K6" s="49">
        <f>-('Revenue automotive'!K6-'GP automotive'!K6)</f>
        <v>-7354.1429594666643</v>
      </c>
      <c r="L6" s="49">
        <f>-('Revenue automotive'!L6-'GP automotive'!L6)</f>
        <v>-7501.2258186559966</v>
      </c>
      <c r="M6" s="49">
        <f>-('Revenue automotive'!M6-'GP automotive'!M6)</f>
        <v>-7651.2503350291172</v>
      </c>
      <c r="N6" s="49">
        <f>-('Revenue automotive'!N6-'GP automotive'!N6)</f>
        <v>-7804.2753417296999</v>
      </c>
      <c r="O6" s="49">
        <f>-('Revenue automotive'!O6-'GP automotive'!O6)</f>
        <v>-7960.3608485642953</v>
      </c>
      <c r="P6" s="49">
        <f>-('Revenue automotive'!P6-'GP automotive'!P6)</f>
        <v>-8119.5680655355791</v>
      </c>
      <c r="Q6" s="49">
        <f>-('Revenue automotive'!Q6-'GP automotive'!Q6)</f>
        <v>-8281.9594268462915</v>
      </c>
      <c r="R6" s="49">
        <f>-('Revenue automotive'!R6-'GP automotive'!R6)</f>
        <v>-8447.5986153832182</v>
      </c>
      <c r="S6" s="49">
        <f>-('Revenue automotive'!S6-'GP automotive'!S6)</f>
        <v>-8616.5505876908828</v>
      </c>
    </row>
    <row r="7" spans="1:19" x14ac:dyDescent="0.25">
      <c r="B7" s="8" t="s">
        <v>95</v>
      </c>
      <c r="C7" s="32">
        <v>0</v>
      </c>
      <c r="D7" s="32">
        <v>0</v>
      </c>
      <c r="E7" s="32">
        <v>0</v>
      </c>
      <c r="F7" s="32">
        <v>0</v>
      </c>
      <c r="G7" s="48">
        <f>-('Revenue automotive'!G7-'GP automotive'!G7)</f>
        <v>0</v>
      </c>
      <c r="H7" s="49">
        <f>-('Revenue automotive'!H7-'GP automotive'!H7)</f>
        <v>0</v>
      </c>
      <c r="I7" s="49">
        <f>-('Revenue automotive'!I7-'GP automotive'!I7)</f>
        <v>0</v>
      </c>
      <c r="J7" s="49">
        <f>-('Revenue automotive'!J7-'GP automotive'!J7)</f>
        <v>-71.251212064036878</v>
      </c>
      <c r="K7" s="49">
        <f>-('Revenue automotive'!K7-'GP automotive'!K7)</f>
        <v>-5275.9826075989213</v>
      </c>
      <c r="L7" s="49">
        <f>-('Revenue automotive'!L7-'GP automotive'!L7)</f>
        <v>-10501.879329166433</v>
      </c>
      <c r="M7" s="49">
        <f>-('Revenue automotive'!M7-'GP automotive'!M7)</f>
        <v>-16803.006926666294</v>
      </c>
      <c r="N7" s="49">
        <f>-('Revenue automotive'!N7-'GP automotive'!N7)</f>
        <v>-18483.307619332925</v>
      </c>
      <c r="O7" s="49">
        <f>-('Revenue automotive'!O7-'GP automotive'!O7)</f>
        <v>-20331.638381266221</v>
      </c>
      <c r="P7" s="49">
        <f>-('Revenue automotive'!P7-'GP automotive'!P7)</f>
        <v>-21348.220300329533</v>
      </c>
      <c r="Q7" s="49">
        <f>-('Revenue automotive'!Q7-'GP automotive'!Q7)</f>
        <v>-22415.631315346011</v>
      </c>
      <c r="R7" s="49">
        <f>-('Revenue automotive'!R7-'GP automotive'!R7)</f>
        <v>-22863.943941652928</v>
      </c>
      <c r="S7" s="49">
        <f>-('Revenue automotive'!S7-'GP automotive'!S7)</f>
        <v>-23321.222820485986</v>
      </c>
    </row>
    <row r="8" spans="1:19" x14ac:dyDescent="0.25">
      <c r="B8" s="8" t="s">
        <v>97</v>
      </c>
      <c r="C8" s="32">
        <v>0</v>
      </c>
      <c r="D8" s="32">
        <v>0</v>
      </c>
      <c r="E8" s="32">
        <v>0</v>
      </c>
      <c r="F8" s="32">
        <v>0</v>
      </c>
      <c r="G8" s="48">
        <f>-('Revenue automotive'!G8-'GP automotive'!G8)</f>
        <v>0</v>
      </c>
      <c r="H8" s="49">
        <f>-('Revenue automotive'!H8-'GP automotive'!H8)</f>
        <v>0</v>
      </c>
      <c r="I8" s="49">
        <f>-('Revenue automotive'!I8-'GP automotive'!I8)</f>
        <v>0</v>
      </c>
      <c r="J8" s="49">
        <f>-('Revenue automotive'!J8-'GP automotive'!J8)</f>
        <v>0</v>
      </c>
      <c r="K8" s="49">
        <f>-('Revenue automotive'!K8-'GP automotive'!K8)</f>
        <v>-69.789338310590452</v>
      </c>
      <c r="L8" s="49">
        <f>-('Revenue automotive'!L8-'GP automotive'!L8)</f>
        <v>-139.5786766211809</v>
      </c>
      <c r="M8" s="49">
        <f>-('Revenue automotive'!M8-'GP automotive'!M8)</f>
        <v>-209.36801493177134</v>
      </c>
      <c r="N8" s="49">
        <f>-('Revenue automotive'!N8-'GP automotive'!N8)</f>
        <v>-230.30481642494851</v>
      </c>
      <c r="O8" s="49">
        <f>-('Revenue automotive'!O8-'GP automotive'!O8)</f>
        <v>-253.3352980674434</v>
      </c>
      <c r="P8" s="49">
        <f>-('Revenue automotive'!P8-'GP automotive'!P8)</f>
        <v>-266.00206297081559</v>
      </c>
      <c r="Q8" s="49">
        <f>-('Revenue automotive'!Q8-'GP automotive'!Q8)</f>
        <v>-279.30216611935634</v>
      </c>
      <c r="R8" s="49">
        <f>-('Revenue automotive'!R8-'GP automotive'!R8)</f>
        <v>-284.88820944174347</v>
      </c>
      <c r="S8" s="49">
        <f>-('Revenue automotive'!S8-'GP automotive'!S8)</f>
        <v>-290.58597363057839</v>
      </c>
    </row>
    <row r="9" spans="1:19" x14ac:dyDescent="0.25">
      <c r="B9" s="8" t="s">
        <v>96</v>
      </c>
      <c r="C9" s="32">
        <v>0</v>
      </c>
      <c r="D9" s="32">
        <v>0</v>
      </c>
      <c r="E9" s="32">
        <v>0</v>
      </c>
      <c r="F9" s="32">
        <v>0</v>
      </c>
      <c r="G9" s="48">
        <f>-('Revenue automotive'!G9-'GP automotive'!G9)</f>
        <v>0</v>
      </c>
      <c r="H9" s="49">
        <f>-('Revenue automotive'!H9-'GP automotive'!H9)</f>
        <v>0</v>
      </c>
      <c r="I9" s="49">
        <f>-('Revenue automotive'!I9-'GP automotive'!I9)</f>
        <v>0</v>
      </c>
      <c r="J9" s="49">
        <f>-('Revenue automotive'!J9-'GP automotive'!J9)</f>
        <v>-13.800535989119375</v>
      </c>
      <c r="K9" s="49">
        <f>-('Revenue automotive'!K9-'GP automotive'!K9)</f>
        <v>-1021.896831575268</v>
      </c>
      <c r="L9" s="49">
        <f>-('Revenue automotive'!L9-'GP automotive'!L9)</f>
        <v>-2034.0926061060304</v>
      </c>
      <c r="M9" s="49">
        <f>-('Revenue automotive'!M9-'GP automotive'!M9)</f>
        <v>-3254.5481697696496</v>
      </c>
      <c r="N9" s="49">
        <f>-('Revenue automotive'!N9-'GP automotive'!N9)</f>
        <v>-3580.0029867466146</v>
      </c>
      <c r="O9" s="49">
        <f>-('Revenue automotive'!O9-'GP automotive'!O9)</f>
        <v>-3938.0032854212768</v>
      </c>
      <c r="P9" s="49">
        <f>-('Revenue automotive'!P9-'GP automotive'!P9)</f>
        <v>-4134.9034496923405</v>
      </c>
      <c r="Q9" s="49">
        <f>-('Revenue automotive'!Q9-'GP automotive'!Q9)</f>
        <v>-4341.6486221769574</v>
      </c>
      <c r="R9" s="49">
        <f>-('Revenue automotive'!R9-'GP automotive'!R9)</f>
        <v>-4428.4815946204972</v>
      </c>
      <c r="S9" s="49">
        <f>-('Revenue automotive'!S9-'GP automotive'!S9)</f>
        <v>-4517.0512265129064</v>
      </c>
    </row>
    <row r="10" spans="1:19" x14ac:dyDescent="0.25">
      <c r="B10" s="8" t="s">
        <v>93</v>
      </c>
      <c r="C10" s="32">
        <v>0</v>
      </c>
      <c r="D10" s="32">
        <v>0</v>
      </c>
      <c r="E10" s="32">
        <v>0</v>
      </c>
      <c r="F10" s="32">
        <v>0</v>
      </c>
      <c r="G10" s="48">
        <f>-('Revenue automotive'!G10-'GP automotive'!G10)</f>
        <v>0</v>
      </c>
      <c r="H10" s="49">
        <f>-('Revenue automotive'!H10-'GP automotive'!H10)</f>
        <v>0</v>
      </c>
      <c r="I10" s="49">
        <f>-('Revenue automotive'!I10-'GP automotive'!I10)</f>
        <v>0</v>
      </c>
      <c r="J10" s="49">
        <f>-('Revenue automotive'!J10-'GP automotive'!J10)</f>
        <v>-40.415591271136584</v>
      </c>
      <c r="K10" s="49">
        <f>-('Revenue automotive'!K10-'GP automotive'!K10)</f>
        <v>-2992.6783060293997</v>
      </c>
      <c r="L10" s="49">
        <f>-('Revenue automotive'!L10-'GP automotive'!L10)</f>
        <v>-5956.9465592378192</v>
      </c>
      <c r="M10" s="49">
        <f>-('Revenue automotive'!M10-'GP automotive'!M10)</f>
        <v>-9531.1144947805114</v>
      </c>
      <c r="N10" s="49">
        <f>-('Revenue automotive'!N10-'GP automotive'!N10)</f>
        <v>-10484.225944258562</v>
      </c>
      <c r="O10" s="49">
        <f>-('Revenue automotive'!O10-'GP automotive'!O10)</f>
        <v>-11532.64853868442</v>
      </c>
      <c r="P10" s="49">
        <f>-('Revenue automotive'!P10-'GP automotive'!P10)</f>
        <v>-12109.280965618642</v>
      </c>
      <c r="Q10" s="49">
        <f>-('Revenue automotive'!Q10-'GP automotive'!Q10)</f>
        <v>-12714.745013899575</v>
      </c>
      <c r="R10" s="49">
        <f>-('Revenue automotive'!R10-'GP automotive'!R10)</f>
        <v>-12969.039914177567</v>
      </c>
      <c r="S10" s="49">
        <f>-('Revenue automotive'!S10-'GP automotive'!S10)</f>
        <v>-13228.420712461118</v>
      </c>
    </row>
    <row r="11" spans="1:19" ht="12.6" thickBot="1" x14ac:dyDescent="0.3">
      <c r="B11" s="75" t="s">
        <v>68</v>
      </c>
      <c r="C11" s="76">
        <f>'P&amp;L Input'!C8/1000</f>
        <v>-2145.7489999999998</v>
      </c>
      <c r="D11" s="76">
        <f>'P&amp;L Input'!D8/1000</f>
        <v>-2823.3020000000001</v>
      </c>
      <c r="E11" s="76">
        <f>'P&amp;L Input'!E8/1000</f>
        <v>-4750.0810000000001</v>
      </c>
      <c r="F11" s="76">
        <f>'P&amp;L Input'!F8/1000</f>
        <v>-7432.7039999999997</v>
      </c>
      <c r="G11" s="76">
        <f>-('Revenue automotive'!G11-'GP automotive'!G11)</f>
        <v>-4862.5469999999996</v>
      </c>
      <c r="H11" s="76">
        <f t="shared" ref="H11:N11" si="0">SUM(H5:H10)</f>
        <v>-7778.6807452479779</v>
      </c>
      <c r="I11" s="76">
        <f>-('Revenue automotive'!I11-'GP automotive'!I11)</f>
        <v>-11525.019745247979</v>
      </c>
      <c r="J11" s="76">
        <f t="shared" si="0"/>
        <v>-16903.783036355555</v>
      </c>
      <c r="K11" s="76">
        <f t="shared" si="0"/>
        <v>-32023.884633577272</v>
      </c>
      <c r="L11" s="76">
        <f t="shared" si="0"/>
        <v>-42974.057039443534</v>
      </c>
      <c r="M11" s="76">
        <f t="shared" si="0"/>
        <v>-55973.655395799025</v>
      </c>
      <c r="N11" s="76">
        <f t="shared" si="0"/>
        <v>-60032.702535845514</v>
      </c>
      <c r="O11" s="76">
        <f t="shared" ref="O11:S11" si="1">SUM(O5:O10)</f>
        <v>-64439.101470724068</v>
      </c>
      <c r="P11" s="76">
        <f t="shared" si="1"/>
        <v>-66809.552265241728</v>
      </c>
      <c r="Q11" s="76">
        <f t="shared" si="1"/>
        <v>-69281.495513904898</v>
      </c>
      <c r="R11" s="76">
        <f t="shared" si="1"/>
        <v>-70667.125424183003</v>
      </c>
      <c r="S11" s="76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173</v>
      </c>
    </row>
    <row r="2" spans="1:19" ht="15.6" x14ac:dyDescent="0.25">
      <c r="A2" s="1"/>
      <c r="B2" s="2"/>
    </row>
    <row r="3" spans="1:19" ht="24" x14ac:dyDescent="0.25">
      <c r="A3" s="1"/>
      <c r="B3" s="20" t="s">
        <v>91</v>
      </c>
      <c r="C3" s="6" t="s">
        <v>45</v>
      </c>
      <c r="D3" s="6" t="s">
        <v>46</v>
      </c>
      <c r="E3" s="6" t="s">
        <v>47</v>
      </c>
      <c r="F3" s="6" t="s">
        <v>84</v>
      </c>
      <c r="G3" s="6"/>
      <c r="H3" s="57"/>
      <c r="I3" s="57" t="s">
        <v>102</v>
      </c>
      <c r="J3" s="57" t="s">
        <v>104</v>
      </c>
      <c r="K3" s="57" t="s">
        <v>105</v>
      </c>
      <c r="L3" s="57" t="s">
        <v>106</v>
      </c>
      <c r="M3" s="57" t="s">
        <v>107</v>
      </c>
      <c r="N3" s="57" t="s">
        <v>108</v>
      </c>
      <c r="O3" s="57" t="s">
        <v>166</v>
      </c>
      <c r="P3" s="57" t="s">
        <v>167</v>
      </c>
      <c r="Q3" s="57" t="s">
        <v>168</v>
      </c>
      <c r="R3" s="57" t="s">
        <v>169</v>
      </c>
      <c r="S3" s="57" t="s">
        <v>170</v>
      </c>
    </row>
    <row r="4" spans="1:19" x14ac:dyDescent="0.25">
      <c r="B4" s="8" t="s">
        <v>174</v>
      </c>
      <c r="C4" s="48">
        <f>'Revenue automotive'!C11</f>
        <v>3007.0120000000002</v>
      </c>
      <c r="D4" s="48">
        <f>'Revenue automotive'!D11</f>
        <v>3740.973</v>
      </c>
      <c r="E4" s="48">
        <f>'Revenue automotive'!E11</f>
        <v>6350.7659999999996</v>
      </c>
      <c r="F4" s="78">
        <f>'Revenue automotive'!F11</f>
        <v>9641.2999999999993</v>
      </c>
      <c r="G4" s="78"/>
      <c r="H4" s="49"/>
      <c r="I4" s="49">
        <f>'Revenue automotive'!I11</f>
        <v>14236.04</v>
      </c>
      <c r="J4" s="49">
        <f>'Revenue automotive'!J11</f>
        <v>19998.95</v>
      </c>
      <c r="K4" s="49">
        <f>'Revenue automotive'!K11</f>
        <v>38090.130952380954</v>
      </c>
      <c r="L4" s="49">
        <f>'Revenue automotive'!L11</f>
        <v>51425.813083900233</v>
      </c>
      <c r="M4" s="49">
        <f>'Revenue automotive'!M11</f>
        <v>67263.070334240372</v>
      </c>
      <c r="N4" s="49">
        <f>'Revenue automotive'!N11</f>
        <v>72174.618855664419</v>
      </c>
      <c r="O4" s="49">
        <f>'Revenue automotive'!O11</f>
        <v>77509.315378990868</v>
      </c>
      <c r="P4" s="49">
        <f>'Revenue automotive'!P11</f>
        <v>80389.920968883598</v>
      </c>
      <c r="Q4" s="49">
        <f>'Revenue automotive'!Q11</f>
        <v>83394.659634689859</v>
      </c>
      <c r="R4" s="49">
        <f>'Revenue automotive'!R11</f>
        <v>85062.552827383639</v>
      </c>
      <c r="S4" s="49">
        <f>'Revenue automotive'!S11</f>
        <v>86763.803883931323</v>
      </c>
    </row>
    <row r="5" spans="1:19" x14ac:dyDescent="0.25">
      <c r="B5" s="8" t="s">
        <v>175</v>
      </c>
      <c r="C5" s="48">
        <f>'GP automotive'!C11</f>
        <v>861.26300000000003</v>
      </c>
      <c r="D5" s="48">
        <f>'GP automotive'!D11</f>
        <v>917.67100000000005</v>
      </c>
      <c r="E5" s="48">
        <f>'GP automotive'!E11</f>
        <v>1600.6849999999999</v>
      </c>
      <c r="F5" s="78">
        <f>'GP automotive'!F11</f>
        <v>2208.596</v>
      </c>
      <c r="G5" s="78"/>
      <c r="H5" s="49"/>
      <c r="I5" s="49">
        <f>'GP automotive'!I11</f>
        <v>2711.0202547520225</v>
      </c>
      <c r="J5" s="49">
        <f>'GP automotive'!J11</f>
        <v>3095.1669636444458</v>
      </c>
      <c r="K5" s="49">
        <f>'GP automotive'!K11</f>
        <v>6066.2463188036818</v>
      </c>
      <c r="L5" s="49">
        <f>'GP automotive'!L11</f>
        <v>8451.7560444566952</v>
      </c>
      <c r="M5" s="49">
        <f>'GP automotive'!M11</f>
        <v>11289.414938441347</v>
      </c>
      <c r="N5" s="49">
        <f>'GP automotive'!N11</f>
        <v>12141.916319818894</v>
      </c>
      <c r="O5" s="49">
        <f>'GP automotive'!O11</f>
        <v>13070.213908266798</v>
      </c>
      <c r="P5" s="49">
        <f>'GP automotive'!P11</f>
        <v>13580.36870364188</v>
      </c>
      <c r="Q5" s="49">
        <f>'GP automotive'!Q11</f>
        <v>14113.164120784952</v>
      </c>
      <c r="R5" s="49">
        <f>'GP automotive'!R11</f>
        <v>14395.427403200651</v>
      </c>
      <c r="S5" s="49">
        <f>'GP automotive'!S11</f>
        <v>14683.335951264664</v>
      </c>
    </row>
    <row r="6" spans="1:19" x14ac:dyDescent="0.25">
      <c r="B6" s="8" t="s">
        <v>137</v>
      </c>
      <c r="C6" s="85">
        <f>C5/C4</f>
        <v>0.28641821183287597</v>
      </c>
      <c r="D6" s="85">
        <f>D5/D4</f>
        <v>0.24530275946926108</v>
      </c>
      <c r="E6" s="85">
        <f>E5/E4</f>
        <v>0.25204597366679865</v>
      </c>
      <c r="F6" s="85">
        <f>F5/F4</f>
        <v>0.2290765768101812</v>
      </c>
      <c r="G6" s="85"/>
      <c r="H6" s="85"/>
      <c r="I6" s="87">
        <f>I5/I4</f>
        <v>0.19043359352404338</v>
      </c>
      <c r="J6" s="87">
        <f t="shared" ref="J6:S6" si="0">J5/J4</f>
        <v>0.15476647342207694</v>
      </c>
      <c r="K6" s="87">
        <f t="shared" si="0"/>
        <v>0.15926031670480487</v>
      </c>
      <c r="L6" s="87">
        <f t="shared" si="0"/>
        <v>0.16434851561156294</v>
      </c>
      <c r="M6" s="87">
        <f t="shared" si="0"/>
        <v>0.16783972070175412</v>
      </c>
      <c r="N6" s="87">
        <f t="shared" si="0"/>
        <v>0.16822972552304613</v>
      </c>
      <c r="O6" s="87">
        <f t="shared" si="0"/>
        <v>0.16862765261644305</v>
      </c>
      <c r="P6" s="87">
        <f t="shared" si="0"/>
        <v>0.1689312359057849</v>
      </c>
      <c r="Q6" s="87">
        <f t="shared" si="0"/>
        <v>0.16923342792701163</v>
      </c>
      <c r="R6" s="87">
        <f t="shared" si="0"/>
        <v>0.16923342792701165</v>
      </c>
      <c r="S6" s="87">
        <f t="shared" si="0"/>
        <v>0.16923342792701163</v>
      </c>
    </row>
    <row r="7" spans="1:19" x14ac:dyDescent="0.25">
      <c r="M7" s="18"/>
      <c r="N7" s="18"/>
      <c r="O7" s="18"/>
      <c r="P7" s="18"/>
      <c r="Q7" s="18"/>
      <c r="R7" s="18"/>
      <c r="S7" s="18"/>
    </row>
    <row r="8" spans="1:19" x14ac:dyDescent="0.25">
      <c r="M8" s="18"/>
      <c r="N8" s="18"/>
      <c r="O8" s="18"/>
      <c r="P8" s="18"/>
      <c r="Q8" s="18"/>
      <c r="R8" s="18"/>
      <c r="S8" s="18"/>
    </row>
    <row r="9" spans="1:19" x14ac:dyDescent="0.25">
      <c r="M9" s="18"/>
      <c r="N9" s="18"/>
      <c r="O9" s="18"/>
      <c r="P9" s="18"/>
      <c r="Q9" s="18"/>
      <c r="R9" s="18"/>
      <c r="S9" s="18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H9" sqref="H9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160</v>
      </c>
    </row>
    <row r="2" spans="1:19" ht="15.6" x14ac:dyDescent="0.25">
      <c r="A2" s="1"/>
      <c r="B2" s="2"/>
    </row>
    <row r="3" spans="1:19" ht="12" x14ac:dyDescent="0.25">
      <c r="C3" s="89" t="s">
        <v>176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5" t="s">
        <v>162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3</v>
      </c>
      <c r="C5" s="48">
        <f>'P&amp;L Input'!C5/1000</f>
        <v>4.2080000000000002</v>
      </c>
      <c r="D5" s="48">
        <f>'P&amp;L Input'!D5/1000</f>
        <v>14.477</v>
      </c>
      <c r="E5" s="48">
        <f>'P&amp;L Input'!E5/1000</f>
        <v>181.39400000000001</v>
      </c>
      <c r="F5" s="48">
        <f>'P&amp;L Input'!F5/1000</f>
        <v>1116.2660000000001</v>
      </c>
      <c r="G5" s="48">
        <f>'P&amp;L Input'!G5/1000</f>
        <v>784.43</v>
      </c>
      <c r="H5" s="49">
        <f>G5</f>
        <v>784.43</v>
      </c>
      <c r="I5" s="49">
        <f>G5+H5</f>
        <v>1568.86</v>
      </c>
      <c r="J5" s="33" t="s">
        <v>65</v>
      </c>
      <c r="K5" s="33" t="s">
        <v>65</v>
      </c>
      <c r="L5" s="33" t="s">
        <v>65</v>
      </c>
      <c r="M5" s="33" t="s">
        <v>65</v>
      </c>
      <c r="N5" s="33" t="s">
        <v>65</v>
      </c>
      <c r="O5" s="33" t="s">
        <v>65</v>
      </c>
      <c r="P5" s="33" t="s">
        <v>65</v>
      </c>
      <c r="Q5" s="33" t="s">
        <v>65</v>
      </c>
      <c r="R5" s="33" t="s">
        <v>65</v>
      </c>
      <c r="S5" s="33" t="s">
        <v>65</v>
      </c>
    </row>
    <row r="6" spans="1:19" x14ac:dyDescent="0.25">
      <c r="B6" s="8" t="s">
        <v>2</v>
      </c>
      <c r="C6" s="48">
        <f>'P&amp;L Input'!C6/1000</f>
        <v>187.136</v>
      </c>
      <c r="D6" s="48">
        <f>'P&amp;L Input'!D6/1000</f>
        <v>290.57499999999999</v>
      </c>
      <c r="E6" s="48">
        <f>'P&amp;L Input'!E6/1000</f>
        <v>467.97199999999998</v>
      </c>
      <c r="F6" s="48">
        <f>'P&amp;L Input'!F6/1000</f>
        <v>1001.1849999999999</v>
      </c>
      <c r="G6" s="48">
        <f>'P&amp;L Input'!G6/1000</f>
        <v>533.55399999999997</v>
      </c>
      <c r="H6" s="49">
        <f>G6</f>
        <v>533.55399999999997</v>
      </c>
      <c r="I6" s="49">
        <f>G6+H6</f>
        <v>1067.1079999999999</v>
      </c>
      <c r="J6" s="33" t="s">
        <v>65</v>
      </c>
      <c r="K6" s="33" t="s">
        <v>65</v>
      </c>
      <c r="L6" s="33" t="s">
        <v>65</v>
      </c>
      <c r="M6" s="33" t="s">
        <v>65</v>
      </c>
      <c r="N6" s="33" t="s">
        <v>65</v>
      </c>
      <c r="O6" s="33" t="s">
        <v>65</v>
      </c>
      <c r="P6" s="33" t="s">
        <v>65</v>
      </c>
      <c r="Q6" s="33" t="s">
        <v>65</v>
      </c>
      <c r="R6" s="33" t="s">
        <v>65</v>
      </c>
      <c r="S6" s="33" t="s">
        <v>65</v>
      </c>
    </row>
    <row r="7" spans="1:19" ht="12" x14ac:dyDescent="0.25">
      <c r="B7" s="9" t="s">
        <v>133</v>
      </c>
      <c r="C7" s="65">
        <f>SUM(C5:C6)</f>
        <v>191.34399999999999</v>
      </c>
      <c r="D7" s="65">
        <f>SUM(D5:D6)</f>
        <v>305.05199999999996</v>
      </c>
      <c r="E7" s="65">
        <f>SUM(E5:E6)</f>
        <v>649.36599999999999</v>
      </c>
      <c r="F7" s="65">
        <f>SUM(F5:F6)</f>
        <v>2117.451</v>
      </c>
      <c r="G7" s="65">
        <f>SUM(G5:G6)</f>
        <v>1317.9839999999999</v>
      </c>
      <c r="H7" s="66">
        <f t="shared" ref="H7:I7" si="0">SUM(H5:H6)</f>
        <v>1317.9839999999999</v>
      </c>
      <c r="I7" s="66">
        <f t="shared" si="0"/>
        <v>2635.9679999999998</v>
      </c>
      <c r="J7" s="66">
        <f>I7*(1+J12)</f>
        <v>3057.7228799999998</v>
      </c>
      <c r="K7" s="66">
        <f t="shared" ref="K7:N7" si="1">J7*(1+K12)</f>
        <v>3424.6496256</v>
      </c>
      <c r="L7" s="66">
        <f t="shared" si="1"/>
        <v>3698.6215956480005</v>
      </c>
      <c r="M7" s="66">
        <f t="shared" si="1"/>
        <v>3920.5388913868806</v>
      </c>
      <c r="N7" s="66">
        <f t="shared" si="1"/>
        <v>4155.7712248700936</v>
      </c>
      <c r="O7" s="66">
        <f t="shared" ref="O7" si="2">N7*(1+O12)</f>
        <v>4405.1174983622996</v>
      </c>
      <c r="P7" s="66">
        <f t="shared" ref="P7" si="3">O7*(1+P12)</f>
        <v>4669.4245482640381</v>
      </c>
      <c r="Q7" s="66">
        <f t="shared" ref="Q7" si="4">P7*(1+Q12)</f>
        <v>4949.590021159881</v>
      </c>
      <c r="R7" s="66">
        <f t="shared" ref="R7" si="5">Q7*(1+R12)</f>
        <v>5246.565422429474</v>
      </c>
      <c r="S7" s="66">
        <f t="shared" ref="S7" si="6">R7*(1+S12)</f>
        <v>5561.3593477752429</v>
      </c>
    </row>
    <row r="8" spans="1:19" x14ac:dyDescent="0.25">
      <c r="B8" s="8" t="s">
        <v>139</v>
      </c>
      <c r="C8" s="48">
        <v>255.03100000000001</v>
      </c>
      <c r="D8" s="48">
        <v>399.61900000000003</v>
      </c>
      <c r="E8" s="48">
        <v>730.34199999999998</v>
      </c>
      <c r="F8" s="48">
        <v>0</v>
      </c>
      <c r="G8" s="48">
        <v>0</v>
      </c>
      <c r="H8" s="49">
        <v>0</v>
      </c>
      <c r="I8" s="49">
        <f>G8+H8</f>
        <v>0</v>
      </c>
      <c r="J8" s="33" t="s">
        <v>65</v>
      </c>
      <c r="K8" s="33" t="s">
        <v>65</v>
      </c>
      <c r="L8" s="33" t="s">
        <v>65</v>
      </c>
      <c r="M8" s="33" t="s">
        <v>65</v>
      </c>
      <c r="N8" s="33" t="s">
        <v>65</v>
      </c>
      <c r="O8" s="33" t="s">
        <v>65</v>
      </c>
      <c r="P8" s="33" t="s">
        <v>65</v>
      </c>
      <c r="Q8" s="33" t="s">
        <v>65</v>
      </c>
      <c r="R8" s="33" t="s">
        <v>65</v>
      </c>
      <c r="S8" s="33" t="s">
        <v>65</v>
      </c>
    </row>
    <row r="9" spans="1:19" ht="12.6" thickBot="1" x14ac:dyDescent="0.3">
      <c r="B9" s="75" t="s">
        <v>140</v>
      </c>
      <c r="C9" s="76">
        <f>SUM(C7:C8)</f>
        <v>446.375</v>
      </c>
      <c r="D9" s="76">
        <f t="shared" ref="D9:G9" si="7">SUM(D7:D8)</f>
        <v>704.67100000000005</v>
      </c>
      <c r="E9" s="76">
        <f t="shared" si="7"/>
        <v>1379.7080000000001</v>
      </c>
      <c r="F9" s="76">
        <f t="shared" si="7"/>
        <v>2117.451</v>
      </c>
      <c r="G9" s="76">
        <f t="shared" si="7"/>
        <v>1317.9839999999999</v>
      </c>
      <c r="H9" s="76">
        <f t="shared" ref="H9" si="8">SUM(H7:H8)</f>
        <v>1317.9839999999999</v>
      </c>
      <c r="I9" s="76">
        <f t="shared" ref="I9" si="9">SUM(I7:I8)</f>
        <v>2635.9679999999998</v>
      </c>
      <c r="J9" s="76">
        <f t="shared" ref="J9" si="10">SUM(J7:J8)</f>
        <v>3057.7228799999998</v>
      </c>
      <c r="K9" s="76">
        <f t="shared" ref="K9" si="11">SUM(K7:K8)</f>
        <v>3424.6496256</v>
      </c>
      <c r="L9" s="76">
        <f t="shared" ref="L9" si="12">SUM(L7:L8)</f>
        <v>3698.6215956480005</v>
      </c>
      <c r="M9" s="76">
        <f t="shared" ref="M9" si="13">SUM(M7:M8)</f>
        <v>3920.5388913868806</v>
      </c>
      <c r="N9" s="76">
        <f t="shared" ref="N9:S9" si="14">SUM(N7:N8)</f>
        <v>4155.7712248700936</v>
      </c>
      <c r="O9" s="76">
        <f t="shared" si="14"/>
        <v>4405.1174983622996</v>
      </c>
      <c r="P9" s="76">
        <f t="shared" si="14"/>
        <v>4669.4245482640381</v>
      </c>
      <c r="Q9" s="76">
        <f t="shared" si="14"/>
        <v>4949.590021159881</v>
      </c>
      <c r="R9" s="76">
        <f t="shared" si="14"/>
        <v>5246.565422429474</v>
      </c>
      <c r="S9" s="76">
        <f t="shared" si="14"/>
        <v>5561.3593477752429</v>
      </c>
    </row>
    <row r="10" spans="1:19" ht="3" customHeight="1" x14ac:dyDescent="0.25"/>
    <row r="11" spans="1:19" x14ac:dyDescent="0.25">
      <c r="B11" s="50" t="s">
        <v>73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</row>
    <row r="12" spans="1:19" x14ac:dyDescent="0.25">
      <c r="B12" s="51" t="s">
        <v>133</v>
      </c>
      <c r="C12" s="54"/>
      <c r="D12" s="54"/>
      <c r="E12" s="54"/>
      <c r="F12" s="54"/>
      <c r="G12" s="51"/>
      <c r="H12" s="51"/>
      <c r="I12" s="53"/>
      <c r="J12" s="53">
        <f>CHOOSE(Drivers!$C$3,'Revenue Energy &amp; Other'!J16,'Revenue Energy &amp; Other'!J19,'Revenue Energy &amp; Other'!J22)</f>
        <v>0.16</v>
      </c>
      <c r="K12" s="53">
        <f>CHOOSE(Drivers!$C$3,'Revenue Energy &amp; Other'!K16,'Revenue Energy &amp; Other'!K19,'Revenue Energy &amp; Other'!K22)</f>
        <v>0.12</v>
      </c>
      <c r="L12" s="53">
        <f>CHOOSE(Drivers!$C$3,'Revenue Energy &amp; Other'!L16,'Revenue Energy &amp; Other'!L19,'Revenue Energy &amp; Other'!L22)</f>
        <v>0.08</v>
      </c>
      <c r="M12" s="53">
        <f>CHOOSE(Drivers!$C$3,'Revenue Energy &amp; Other'!M16,'Revenue Energy &amp; Other'!M19,'Revenue Energy &amp; Other'!M22)</f>
        <v>0.06</v>
      </c>
      <c r="N12" s="53">
        <f>CHOOSE(Drivers!$C$3,'Revenue Energy &amp; Other'!N16,'Revenue Energy &amp; Other'!N19,'Revenue Energy &amp; Other'!N22)</f>
        <v>0.06</v>
      </c>
      <c r="O12" s="53">
        <f>CHOOSE(Drivers!$C$3,'Revenue Energy &amp; Other'!O16,'Revenue Energy &amp; Other'!O19,'Revenue Energy &amp; Other'!O22)</f>
        <v>0.06</v>
      </c>
      <c r="P12" s="53">
        <f>CHOOSE(Drivers!$C$3,'Revenue Energy &amp; Other'!P16,'Revenue Energy &amp; Other'!P19,'Revenue Energy &amp; Other'!P22)</f>
        <v>0.06</v>
      </c>
      <c r="Q12" s="53">
        <f>CHOOSE(Drivers!$C$3,'Revenue Energy &amp; Other'!Q16,'Revenue Energy &amp; Other'!Q19,'Revenue Energy &amp; Other'!Q22)</f>
        <v>0.06</v>
      </c>
      <c r="R12" s="53">
        <f>CHOOSE(Drivers!$C$3,'Revenue Energy &amp; Other'!R16,'Revenue Energy &amp; Other'!R19,'Revenue Energy &amp; Other'!R22)</f>
        <v>0.06</v>
      </c>
      <c r="S12" s="53">
        <f>CHOOSE(Drivers!$C$3,'Revenue Energy &amp; Other'!S16,'Revenue Energy &amp; Other'!S19,'Revenue Energy &amp; Other'!S22)</f>
        <v>0.06</v>
      </c>
    </row>
    <row r="13" spans="1:19" x14ac:dyDescent="0.25">
      <c r="B13" s="51"/>
      <c r="C13" s="54"/>
      <c r="D13" s="54"/>
      <c r="E13" s="54"/>
      <c r="F13" s="54"/>
      <c r="G13" s="51"/>
      <c r="H13" s="51"/>
      <c r="I13" s="54"/>
      <c r="J13" s="54"/>
      <c r="K13" s="52"/>
      <c r="L13" s="52"/>
      <c r="M13" s="52"/>
      <c r="N13" s="52"/>
      <c r="O13" s="52"/>
      <c r="P13" s="52"/>
      <c r="Q13" s="52"/>
      <c r="R13" s="52"/>
      <c r="S13" s="52"/>
    </row>
    <row r="14" spans="1:19" x14ac:dyDescent="0.25">
      <c r="B14" s="67" t="s">
        <v>134</v>
      </c>
      <c r="C14" s="54"/>
      <c r="D14" s="54"/>
      <c r="E14" s="54"/>
      <c r="F14" s="54"/>
      <c r="G14" s="51"/>
      <c r="H14" s="51"/>
      <c r="I14" s="54"/>
      <c r="J14" s="54"/>
      <c r="K14" s="52"/>
      <c r="L14" s="52"/>
      <c r="M14" s="52"/>
      <c r="N14" s="52"/>
      <c r="O14" s="52"/>
      <c r="P14" s="52"/>
      <c r="Q14" s="52"/>
      <c r="R14" s="52"/>
      <c r="S14" s="52"/>
    </row>
    <row r="15" spans="1:19" x14ac:dyDescent="0.25">
      <c r="B15" s="50" t="s">
        <v>69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51" t="s">
        <v>133</v>
      </c>
      <c r="C16" s="54"/>
      <c r="D16" s="38"/>
      <c r="E16" s="38"/>
      <c r="F16" s="38"/>
      <c r="G16" s="51"/>
      <c r="H16" s="51"/>
      <c r="I16" s="38"/>
      <c r="J16" s="38">
        <f t="shared" ref="J16:N16" si="15">J19+2%</f>
        <v>0.18</v>
      </c>
      <c r="K16" s="38">
        <f t="shared" si="15"/>
        <v>0.13999999999999999</v>
      </c>
      <c r="L16" s="38">
        <f t="shared" si="15"/>
        <v>0.1</v>
      </c>
      <c r="M16" s="38">
        <f t="shared" si="15"/>
        <v>0.08</v>
      </c>
      <c r="N16" s="38">
        <f t="shared" si="15"/>
        <v>0.08</v>
      </c>
      <c r="O16" s="38">
        <f t="shared" ref="O16:S16" si="16">O19+2%</f>
        <v>0.08</v>
      </c>
      <c r="P16" s="38">
        <f t="shared" si="16"/>
        <v>0.08</v>
      </c>
      <c r="Q16" s="38">
        <f t="shared" si="16"/>
        <v>0.08</v>
      </c>
      <c r="R16" s="38">
        <f t="shared" si="16"/>
        <v>0.08</v>
      </c>
      <c r="S16" s="38">
        <f t="shared" si="16"/>
        <v>0.08</v>
      </c>
    </row>
    <row r="17" spans="2:19" x14ac:dyDescent="0.25">
      <c r="B17" s="51"/>
      <c r="C17" s="54"/>
      <c r="D17" s="54"/>
      <c r="E17" s="54"/>
      <c r="F17" s="54"/>
      <c r="G17" s="51"/>
      <c r="H17" s="51"/>
      <c r="I17" s="54"/>
      <c r="J17" s="54"/>
      <c r="K17" s="52"/>
      <c r="L17" s="52"/>
      <c r="M17" s="52"/>
      <c r="N17" s="52"/>
      <c r="O17" s="52"/>
      <c r="P17" s="52"/>
      <c r="Q17" s="52"/>
      <c r="R17" s="52"/>
      <c r="S17" s="52"/>
    </row>
    <row r="18" spans="2:19" x14ac:dyDescent="0.25">
      <c r="B18" s="50" t="s">
        <v>70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</row>
    <row r="19" spans="2:19" x14ac:dyDescent="0.25">
      <c r="B19" s="51" t="s">
        <v>133</v>
      </c>
      <c r="C19" s="54"/>
      <c r="D19" s="38">
        <f>D9/C9-1</f>
        <v>0.57865247829739586</v>
      </c>
      <c r="E19" s="38">
        <f>E9/D9-1</f>
        <v>0.9579463324019295</v>
      </c>
      <c r="F19" s="38">
        <f>F9/E9-1</f>
        <v>0.53470951824588964</v>
      </c>
      <c r="G19" s="51"/>
      <c r="H19" s="51"/>
      <c r="I19" s="38"/>
      <c r="J19" s="53">
        <v>0.16</v>
      </c>
      <c r="K19" s="53">
        <v>0.12</v>
      </c>
      <c r="L19" s="53">
        <v>0.08</v>
      </c>
      <c r="M19" s="53">
        <v>0.06</v>
      </c>
      <c r="N19" s="53">
        <v>0.06</v>
      </c>
      <c r="O19" s="53">
        <v>0.06</v>
      </c>
      <c r="P19" s="53">
        <v>0.06</v>
      </c>
      <c r="Q19" s="53">
        <v>0.06</v>
      </c>
      <c r="R19" s="53">
        <v>0.06</v>
      </c>
      <c r="S19" s="53">
        <v>0.06</v>
      </c>
    </row>
    <row r="20" spans="2:19" x14ac:dyDescent="0.25">
      <c r="B20" s="51"/>
      <c r="C20" s="54"/>
      <c r="D20" s="54"/>
      <c r="E20" s="54"/>
      <c r="F20" s="54"/>
      <c r="G20" s="51"/>
      <c r="H20" s="51"/>
      <c r="I20" s="54"/>
      <c r="J20" s="54"/>
      <c r="K20" s="52"/>
      <c r="L20" s="52"/>
      <c r="M20" s="52"/>
      <c r="N20" s="52"/>
      <c r="O20" s="52"/>
      <c r="P20" s="52"/>
      <c r="Q20" s="52"/>
      <c r="R20" s="52"/>
      <c r="S20" s="52"/>
    </row>
    <row r="21" spans="2:19" x14ac:dyDescent="0.25">
      <c r="B21" s="50" t="s">
        <v>71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</row>
    <row r="22" spans="2:19" x14ac:dyDescent="0.25">
      <c r="B22" s="51" t="s">
        <v>133</v>
      </c>
      <c r="C22" s="54"/>
      <c r="D22" s="38"/>
      <c r="E22" s="38"/>
      <c r="F22" s="38"/>
      <c r="G22" s="51"/>
      <c r="H22" s="51"/>
      <c r="I22" s="38"/>
      <c r="J22" s="38">
        <f t="shared" ref="J22:N22" si="17">J19-2%</f>
        <v>0.14000000000000001</v>
      </c>
      <c r="K22" s="38">
        <f t="shared" si="17"/>
        <v>9.9999999999999992E-2</v>
      </c>
      <c r="L22" s="38">
        <f t="shared" si="17"/>
        <v>0.06</v>
      </c>
      <c r="M22" s="38">
        <f t="shared" si="17"/>
        <v>3.9999999999999994E-2</v>
      </c>
      <c r="N22" s="38">
        <f t="shared" si="17"/>
        <v>3.9999999999999994E-2</v>
      </c>
      <c r="O22" s="38">
        <f t="shared" ref="O22:S22" si="18">O19-2%</f>
        <v>3.9999999999999994E-2</v>
      </c>
      <c r="P22" s="38">
        <f t="shared" si="18"/>
        <v>3.9999999999999994E-2</v>
      </c>
      <c r="Q22" s="38">
        <f t="shared" si="18"/>
        <v>3.9999999999999994E-2</v>
      </c>
      <c r="R22" s="38">
        <f t="shared" si="18"/>
        <v>3.9999999999999994E-2</v>
      </c>
      <c r="S22" s="38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135</v>
      </c>
      <c r="O1" s="57" t="s">
        <v>167</v>
      </c>
    </row>
    <row r="2" spans="1:19" ht="15.6" x14ac:dyDescent="0.25">
      <c r="A2" s="1"/>
      <c r="B2" s="2"/>
    </row>
    <row r="3" spans="1:19" ht="12" x14ac:dyDescent="0.25">
      <c r="C3" s="89" t="s">
        <v>138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5" t="s">
        <v>162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2">
        <f>('P&amp;L Input'!G5+'P&amp;L Input'!G9)/1000</f>
        <v>78.793999999999997</v>
      </c>
      <c r="H5" s="33" t="s">
        <v>65</v>
      </c>
      <c r="I5" s="33" t="s">
        <v>65</v>
      </c>
      <c r="J5" s="33" t="s">
        <v>65</v>
      </c>
      <c r="K5" s="33" t="s">
        <v>65</v>
      </c>
      <c r="L5" s="33" t="s">
        <v>65</v>
      </c>
      <c r="M5" s="33" t="s">
        <v>65</v>
      </c>
      <c r="N5" s="33" t="s">
        <v>65</v>
      </c>
      <c r="O5" s="33" t="s">
        <v>65</v>
      </c>
      <c r="P5" s="33" t="s">
        <v>65</v>
      </c>
      <c r="Q5" s="33" t="s">
        <v>65</v>
      </c>
      <c r="R5" s="33" t="s">
        <v>65</v>
      </c>
      <c r="S5" s="33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48">
        <f>('P&amp;L Input'!G6+'P&amp;L Input'!G10)/1000</f>
        <v>-233.78899999999999</v>
      </c>
      <c r="H6" s="33" t="s">
        <v>65</v>
      </c>
      <c r="I6" s="33" t="s">
        <v>65</v>
      </c>
      <c r="J6" s="33" t="s">
        <v>65</v>
      </c>
      <c r="K6" s="33" t="s">
        <v>65</v>
      </c>
      <c r="L6" s="33" t="s">
        <v>65</v>
      </c>
      <c r="M6" s="33" t="s">
        <v>65</v>
      </c>
      <c r="N6" s="33" t="s">
        <v>65</v>
      </c>
      <c r="O6" s="33" t="s">
        <v>65</v>
      </c>
      <c r="P6" s="33" t="s">
        <v>65</v>
      </c>
      <c r="Q6" s="33" t="s">
        <v>65</v>
      </c>
      <c r="R6" s="33" t="s">
        <v>65</v>
      </c>
      <c r="S6" s="33" t="s">
        <v>65</v>
      </c>
    </row>
    <row r="7" spans="1:19" ht="12" x14ac:dyDescent="0.25">
      <c r="B7" s="9" t="s">
        <v>133</v>
      </c>
      <c r="C7" s="65">
        <f>SUM(C5:C6)</f>
        <v>20.407999999999998</v>
      </c>
      <c r="D7" s="65">
        <f t="shared" ref="D7:G7" si="0">SUM(D5:D6)</f>
        <v>5.8319999999999999</v>
      </c>
      <c r="E7" s="65">
        <f t="shared" si="0"/>
        <v>-1.4280000000000004</v>
      </c>
      <c r="F7" s="65">
        <f t="shared" si="0"/>
        <v>13.89100000000002</v>
      </c>
      <c r="G7" s="65">
        <f t="shared" si="0"/>
        <v>-154.995</v>
      </c>
      <c r="H7" s="35" t="s">
        <v>65</v>
      </c>
      <c r="I7" s="35" t="s">
        <v>65</v>
      </c>
      <c r="J7" s="35" t="s">
        <v>65</v>
      </c>
      <c r="K7" s="35" t="s">
        <v>65</v>
      </c>
      <c r="L7" s="35" t="s">
        <v>65</v>
      </c>
      <c r="M7" s="35" t="s">
        <v>65</v>
      </c>
      <c r="N7" s="35" t="s">
        <v>65</v>
      </c>
      <c r="O7" s="35" t="s">
        <v>65</v>
      </c>
      <c r="P7" s="35" t="s">
        <v>65</v>
      </c>
      <c r="Q7" s="35" t="s">
        <v>65</v>
      </c>
      <c r="R7" s="35" t="s">
        <v>65</v>
      </c>
      <c r="S7" s="35" t="s">
        <v>65</v>
      </c>
    </row>
    <row r="8" spans="1:19" x14ac:dyDescent="0.25">
      <c r="B8" s="8" t="s">
        <v>139</v>
      </c>
      <c r="C8" s="68">
        <f>(255031-176432)/1000</f>
        <v>78.599000000000004</v>
      </c>
      <c r="D8" s="48">
        <f>(399619-280791)/1000</f>
        <v>118.828</v>
      </c>
      <c r="E8" s="48">
        <f>(730342-478922)/1000</f>
        <v>251.42</v>
      </c>
      <c r="F8" s="48">
        <v>0</v>
      </c>
      <c r="G8" s="48">
        <v>0</v>
      </c>
      <c r="H8" s="33" t="s">
        <v>65</v>
      </c>
      <c r="I8" s="33" t="s">
        <v>65</v>
      </c>
      <c r="J8" s="33" t="s">
        <v>65</v>
      </c>
      <c r="K8" s="33" t="s">
        <v>65</v>
      </c>
      <c r="L8" s="33" t="s">
        <v>65</v>
      </c>
      <c r="M8" s="33" t="s">
        <v>65</v>
      </c>
      <c r="N8" s="33" t="s">
        <v>65</v>
      </c>
      <c r="O8" s="33" t="s">
        <v>65</v>
      </c>
      <c r="P8" s="33" t="s">
        <v>65</v>
      </c>
      <c r="Q8" s="33" t="s">
        <v>65</v>
      </c>
      <c r="R8" s="33" t="s">
        <v>65</v>
      </c>
      <c r="S8" s="33" t="s">
        <v>65</v>
      </c>
    </row>
    <row r="9" spans="1:19" ht="12.6" thickBot="1" x14ac:dyDescent="0.3">
      <c r="B9" s="75" t="s">
        <v>140</v>
      </c>
      <c r="C9" s="76">
        <f>SUM(C7:C8)</f>
        <v>99.007000000000005</v>
      </c>
      <c r="D9" s="76">
        <f>SUM(D7:D8)</f>
        <v>124.66</v>
      </c>
      <c r="E9" s="76">
        <f>SUM(E7:E8)</f>
        <v>249.99199999999999</v>
      </c>
      <c r="F9" s="76">
        <f>SUM(F7:F8)</f>
        <v>13.89100000000002</v>
      </c>
      <c r="G9" s="76">
        <f>SUM(G7:G8)</f>
        <v>-154.995</v>
      </c>
      <c r="H9" s="81" t="s">
        <v>65</v>
      </c>
      <c r="I9" s="76">
        <f>I12*'Revenue Energy &amp; Other'!I9</f>
        <v>386.47228733506643</v>
      </c>
      <c r="J9" s="76">
        <f>J12*'Revenue Energy &amp; Other'!J9</f>
        <v>448.30785330867701</v>
      </c>
      <c r="K9" s="76">
        <f>K12*'Revenue Energy &amp; Other'!K9</f>
        <v>502.10479570571829</v>
      </c>
      <c r="L9" s="76">
        <f>L12*'Revenue Energy &amp; Other'!L9</f>
        <v>542.27317936217582</v>
      </c>
      <c r="M9" s="76">
        <f>M12*'Revenue Energy &amp; Other'!M9</f>
        <v>574.80957012390638</v>
      </c>
      <c r="N9" s="76">
        <f>N12*'Revenue Energy &amp; Other'!N9</f>
        <v>609.29814433134084</v>
      </c>
      <c r="O9" s="76">
        <f>O12*'Revenue Energy &amp; Other'!O9</f>
        <v>645.85603299122135</v>
      </c>
      <c r="P9" s="76">
        <f>P12*'Revenue Energy &amp; Other'!P9</f>
        <v>684.60739497069471</v>
      </c>
      <c r="Q9" s="76">
        <f>Q12*'Revenue Energy &amp; Other'!Q9</f>
        <v>725.68383866893646</v>
      </c>
      <c r="R9" s="76">
        <f>R12*'Revenue Energy &amp; Other'!R9</f>
        <v>769.22486898907266</v>
      </c>
      <c r="S9" s="76">
        <f>S12*'Revenue Energy &amp; Other'!S9</f>
        <v>815.37836112841705</v>
      </c>
    </row>
    <row r="10" spans="1:19" ht="3" customHeight="1" x14ac:dyDescent="0.25"/>
    <row r="11" spans="1:19" x14ac:dyDescent="0.25">
      <c r="B11" s="50" t="s">
        <v>73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</row>
    <row r="12" spans="1:19" x14ac:dyDescent="0.25">
      <c r="B12" s="51" t="s">
        <v>133</v>
      </c>
      <c r="C12" s="69">
        <f>C9/'Revenue Energy &amp; Other'!C9</f>
        <v>0.22180229627555309</v>
      </c>
      <c r="D12" s="69">
        <f>D9/'Revenue Energy &amp; Other'!D9</f>
        <v>0.1769052508191766</v>
      </c>
      <c r="E12" s="69">
        <f>E9/'Revenue Energy &amp; Other'!E9</f>
        <v>0.18119196235725238</v>
      </c>
      <c r="F12" s="69">
        <f>F9/'Revenue Energy &amp; Other'!F9</f>
        <v>6.5602462583549837E-3</v>
      </c>
      <c r="G12" s="69">
        <f>G9/'Revenue Energy &amp; Other'!G9</f>
        <v>-0.11760006191273947</v>
      </c>
      <c r="H12" s="51"/>
      <c r="I12" s="53">
        <f>CHOOSE(Drivers!$C$3,'GP Energy &amp; Other'!I15,'GP Energy &amp; Other'!I18,'GP Energy &amp; Other'!I22)</f>
        <v>0.14661493892758426</v>
      </c>
      <c r="J12" s="53">
        <f>CHOOSE(Drivers!$C$3,'GP Energy &amp; Other'!J15,'GP Energy &amp; Other'!J18,'GP Energy &amp; Other'!J22)</f>
        <v>0.14661493892758426</v>
      </c>
      <c r="K12" s="53">
        <f>CHOOSE(Drivers!$C$3,'GP Energy &amp; Other'!K15,'GP Energy &amp; Other'!K18,'GP Energy &amp; Other'!K22)</f>
        <v>0.14661493892758426</v>
      </c>
      <c r="L12" s="53">
        <f>CHOOSE(Drivers!$C$3,'GP Energy &amp; Other'!L15,'GP Energy &amp; Other'!L18,'GP Energy &amp; Other'!L22)</f>
        <v>0.14661493892758426</v>
      </c>
      <c r="M12" s="53">
        <f>CHOOSE(Drivers!$C$3,'GP Energy &amp; Other'!M15,'GP Energy &amp; Other'!M18,'GP Energy &amp; Other'!M22)</f>
        <v>0.14661493892758426</v>
      </c>
      <c r="N12" s="53">
        <f>CHOOSE(Drivers!$C$3,'GP Energy &amp; Other'!N15,'GP Energy &amp; Other'!N18,'GP Energy &amp; Other'!N22)</f>
        <v>0.14661493892758426</v>
      </c>
      <c r="O12" s="53">
        <f>CHOOSE(Drivers!$C$3,'GP Energy &amp; Other'!O15,'GP Energy &amp; Other'!O18,'GP Energy &amp; Other'!O22)</f>
        <v>0.14661493892758426</v>
      </c>
      <c r="P12" s="53">
        <f>CHOOSE(Drivers!$C$3,'GP Energy &amp; Other'!P15,'GP Energy &amp; Other'!P18,'GP Energy &amp; Other'!P22)</f>
        <v>0.14661493892758426</v>
      </c>
      <c r="Q12" s="53">
        <f>CHOOSE(Drivers!$C$3,'GP Energy &amp; Other'!Q15,'GP Energy &amp; Other'!Q18,'GP Energy &amp; Other'!Q22)</f>
        <v>0.14661493892758426</v>
      </c>
      <c r="R12" s="53">
        <f>CHOOSE(Drivers!$C$3,'GP Energy &amp; Other'!R15,'GP Energy &amp; Other'!R18,'GP Energy &amp; Other'!R22)</f>
        <v>0.14661493892758426</v>
      </c>
      <c r="S12" s="53">
        <f>CHOOSE(Drivers!$C$3,'GP Energy &amp; Other'!S15,'GP Energy &amp; Other'!S18,'GP Energy &amp; Other'!S22)</f>
        <v>0.14661493892758426</v>
      </c>
    </row>
    <row r="13" spans="1:19" x14ac:dyDescent="0.25">
      <c r="B13" s="51"/>
      <c r="C13" s="54"/>
      <c r="D13" s="54"/>
      <c r="E13" s="54"/>
      <c r="F13" s="54"/>
      <c r="G13" s="51"/>
      <c r="H13" s="51"/>
      <c r="I13" s="54"/>
      <c r="J13" s="54"/>
      <c r="K13" s="52"/>
      <c r="L13" s="52"/>
      <c r="M13" s="52"/>
      <c r="N13" s="52"/>
      <c r="O13" s="52"/>
      <c r="P13" s="52"/>
      <c r="Q13" s="52"/>
      <c r="R13" s="52"/>
      <c r="S13" s="52"/>
    </row>
    <row r="14" spans="1:19" x14ac:dyDescent="0.25">
      <c r="B14" s="67" t="s">
        <v>137</v>
      </c>
      <c r="C14" s="54"/>
      <c r="D14" s="54"/>
      <c r="E14" s="54"/>
      <c r="F14" s="54"/>
      <c r="G14" s="51"/>
      <c r="H14" s="51"/>
      <c r="I14" s="54"/>
      <c r="J14" s="54"/>
      <c r="K14" s="52"/>
      <c r="L14" s="52"/>
      <c r="M14" s="52"/>
      <c r="N14" s="52"/>
      <c r="O14" s="52"/>
      <c r="P14" s="52"/>
      <c r="Q14" s="52"/>
      <c r="R14" s="52"/>
      <c r="S14" s="52"/>
    </row>
    <row r="15" spans="1:19" x14ac:dyDescent="0.25">
      <c r="B15" s="50" t="s">
        <v>69</v>
      </c>
      <c r="C15" s="51"/>
      <c r="D15" s="51"/>
      <c r="E15" s="51"/>
      <c r="F15" s="51"/>
      <c r="G15" s="51"/>
      <c r="H15" s="51"/>
      <c r="I15" s="52">
        <f>I18+2%</f>
        <v>0.16661493892758425</v>
      </c>
      <c r="J15" s="52">
        <f t="shared" ref="J15:N15" si="1">J18+2%</f>
        <v>0.16661493892758425</v>
      </c>
      <c r="K15" s="52">
        <f t="shared" si="1"/>
        <v>0.16661493892758425</v>
      </c>
      <c r="L15" s="52">
        <f t="shared" si="1"/>
        <v>0.16661493892758425</v>
      </c>
      <c r="M15" s="52">
        <f t="shared" si="1"/>
        <v>0.16661493892758425</v>
      </c>
      <c r="N15" s="52">
        <f t="shared" si="1"/>
        <v>0.16661493892758425</v>
      </c>
      <c r="O15" s="52">
        <f t="shared" ref="O15:S15" si="2">O18+2%</f>
        <v>0.16661493892758425</v>
      </c>
      <c r="P15" s="52">
        <f t="shared" si="2"/>
        <v>0.16661493892758425</v>
      </c>
      <c r="Q15" s="52">
        <f t="shared" si="2"/>
        <v>0.16661493892758425</v>
      </c>
      <c r="R15" s="52">
        <f t="shared" si="2"/>
        <v>0.16661493892758425</v>
      </c>
      <c r="S15" s="52">
        <f t="shared" si="2"/>
        <v>0.16661493892758425</v>
      </c>
    </row>
    <row r="16" spans="1:19" x14ac:dyDescent="0.25">
      <c r="B16" s="51" t="s">
        <v>133</v>
      </c>
      <c r="C16" s="54"/>
      <c r="D16" s="38"/>
      <c r="E16" s="38"/>
      <c r="F16" s="38"/>
      <c r="G16" s="51"/>
      <c r="H16" s="51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2:19" x14ac:dyDescent="0.25">
      <c r="B17" s="51"/>
      <c r="C17" s="54"/>
      <c r="D17" s="54"/>
      <c r="E17" s="54"/>
      <c r="F17" s="54"/>
      <c r="G17" s="51"/>
      <c r="H17" s="51"/>
      <c r="I17" s="54"/>
      <c r="J17" s="54"/>
      <c r="K17" s="52"/>
      <c r="L17" s="52"/>
      <c r="M17" s="52"/>
      <c r="N17" s="52"/>
      <c r="O17" s="52"/>
      <c r="P17" s="52"/>
      <c r="Q17" s="52"/>
      <c r="R17" s="52"/>
      <c r="S17" s="52"/>
    </row>
    <row r="18" spans="2:19" x14ac:dyDescent="0.25">
      <c r="B18" s="50" t="s">
        <v>70</v>
      </c>
      <c r="C18" s="51"/>
      <c r="D18" s="51"/>
      <c r="E18" s="51"/>
      <c r="F18" s="51"/>
      <c r="G18" s="51"/>
      <c r="H18" s="51"/>
      <c r="I18" s="52">
        <f>AVERAGE($C$12:$F$12)</f>
        <v>0.14661493892758426</v>
      </c>
      <c r="J18" s="52">
        <f t="shared" ref="J18:S18" si="3">AVERAGE($C$12:$F$12)</f>
        <v>0.14661493892758426</v>
      </c>
      <c r="K18" s="52">
        <f t="shared" si="3"/>
        <v>0.14661493892758426</v>
      </c>
      <c r="L18" s="52">
        <f t="shared" si="3"/>
        <v>0.14661493892758426</v>
      </c>
      <c r="M18" s="52">
        <f t="shared" si="3"/>
        <v>0.14661493892758426</v>
      </c>
      <c r="N18" s="52">
        <f t="shared" si="3"/>
        <v>0.14661493892758426</v>
      </c>
      <c r="O18" s="52">
        <f t="shared" si="3"/>
        <v>0.14661493892758426</v>
      </c>
      <c r="P18" s="52">
        <f t="shared" si="3"/>
        <v>0.14661493892758426</v>
      </c>
      <c r="Q18" s="52">
        <f t="shared" si="3"/>
        <v>0.14661493892758426</v>
      </c>
      <c r="R18" s="52">
        <f t="shared" si="3"/>
        <v>0.14661493892758426</v>
      </c>
      <c r="S18" s="52">
        <f t="shared" si="3"/>
        <v>0.14661493892758426</v>
      </c>
    </row>
    <row r="19" spans="2:19" x14ac:dyDescent="0.25">
      <c r="B19" s="51" t="s">
        <v>133</v>
      </c>
      <c r="C19" s="54"/>
      <c r="D19" s="38"/>
      <c r="E19" s="38"/>
      <c r="F19" s="38"/>
      <c r="G19" s="51"/>
      <c r="H19" s="51"/>
      <c r="I19" s="38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2:19" x14ac:dyDescent="0.25">
      <c r="B20" s="51"/>
      <c r="C20" s="54"/>
      <c r="D20" s="54"/>
      <c r="E20" s="54"/>
      <c r="F20" s="54"/>
      <c r="G20" s="51"/>
      <c r="H20" s="51"/>
      <c r="I20" s="54"/>
      <c r="J20" s="54"/>
      <c r="K20" s="52"/>
      <c r="L20" s="52"/>
      <c r="M20" s="52"/>
      <c r="N20" s="52"/>
      <c r="O20" s="52"/>
      <c r="P20" s="52"/>
      <c r="Q20" s="52"/>
      <c r="R20" s="52"/>
      <c r="S20" s="52"/>
    </row>
    <row r="21" spans="2:19" x14ac:dyDescent="0.25">
      <c r="B21" s="50" t="s">
        <v>71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</row>
    <row r="22" spans="2:19" x14ac:dyDescent="0.25">
      <c r="B22" s="51" t="s">
        <v>133</v>
      </c>
      <c r="C22" s="54"/>
      <c r="D22" s="38"/>
      <c r="E22" s="38"/>
      <c r="F22" s="38"/>
      <c r="G22" s="51"/>
      <c r="H22" s="51"/>
      <c r="I22" s="52">
        <f>I18-2%</f>
        <v>0.12661493892758427</v>
      </c>
      <c r="J22" s="52">
        <f t="shared" ref="J22:N22" si="4">J18-2%</f>
        <v>0.12661493892758427</v>
      </c>
      <c r="K22" s="52">
        <f t="shared" si="4"/>
        <v>0.12661493892758427</v>
      </c>
      <c r="L22" s="52">
        <f t="shared" si="4"/>
        <v>0.12661493892758427</v>
      </c>
      <c r="M22" s="52">
        <f t="shared" si="4"/>
        <v>0.12661493892758427</v>
      </c>
      <c r="N22" s="52">
        <f t="shared" si="4"/>
        <v>0.12661493892758427</v>
      </c>
      <c r="O22" s="52">
        <f t="shared" ref="O22:S22" si="5">O18-2%</f>
        <v>0.12661493892758427</v>
      </c>
      <c r="P22" s="52">
        <f t="shared" si="5"/>
        <v>0.12661493892758427</v>
      </c>
      <c r="Q22" s="52">
        <f t="shared" si="5"/>
        <v>0.12661493892758427</v>
      </c>
      <c r="R22" s="52">
        <f t="shared" si="5"/>
        <v>0.12661493892758427</v>
      </c>
      <c r="S22" s="52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188</v>
      </c>
      <c r="C4" s="72" t="s">
        <v>115</v>
      </c>
      <c r="E4" s="4"/>
      <c r="F4" s="4"/>
    </row>
    <row r="5" spans="1:6" x14ac:dyDescent="0.25">
      <c r="B5" s="8" t="s">
        <v>110</v>
      </c>
      <c r="C5" s="58" t="s">
        <v>111</v>
      </c>
    </row>
    <row r="6" spans="1:6" x14ac:dyDescent="0.25">
      <c r="B6" s="8" t="s">
        <v>112</v>
      </c>
      <c r="C6" s="58" t="s">
        <v>113</v>
      </c>
    </row>
    <row r="7" spans="1:6" x14ac:dyDescent="0.25">
      <c r="B7" s="8" t="s">
        <v>189</v>
      </c>
      <c r="C7" s="59">
        <v>3.0700000000000002E-2</v>
      </c>
    </row>
    <row r="8" spans="1:6" x14ac:dyDescent="0.25">
      <c r="B8" s="8" t="s">
        <v>114</v>
      </c>
      <c r="C8" s="18">
        <v>0.05</v>
      </c>
    </row>
    <row r="9" spans="1:6" x14ac:dyDescent="0.25">
      <c r="B9" s="8" t="s">
        <v>190</v>
      </c>
      <c r="C9" s="8">
        <v>0.78</v>
      </c>
    </row>
    <row r="10" spans="1:6" x14ac:dyDescent="0.25">
      <c r="B10" s="8" t="s">
        <v>191</v>
      </c>
      <c r="C10" s="8">
        <v>307.8</v>
      </c>
    </row>
    <row r="11" spans="1:6" x14ac:dyDescent="0.2">
      <c r="B11" s="16" t="s">
        <v>192</v>
      </c>
      <c r="C11" s="17">
        <v>7.4999999999999997E-2</v>
      </c>
    </row>
    <row r="12" spans="1:6" x14ac:dyDescent="0.25">
      <c r="B12" s="8" t="s">
        <v>82</v>
      </c>
      <c r="C12" s="18">
        <v>0.3</v>
      </c>
    </row>
    <row r="13" spans="1:6" x14ac:dyDescent="0.25">
      <c r="B13" s="8" t="s">
        <v>83</v>
      </c>
      <c r="C13" s="18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159</v>
      </c>
    </row>
    <row r="2" spans="1:19" ht="15.6" x14ac:dyDescent="0.25">
      <c r="A2" s="1"/>
      <c r="B2" s="2"/>
    </row>
    <row r="3" spans="1:19" ht="12" x14ac:dyDescent="0.25">
      <c r="C3" s="89" t="s">
        <v>177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5" t="s">
        <v>162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2">
        <f>-('Revenue Energy &amp; Other'!G5-'GP Energy &amp; Other'!G5)</f>
        <v>-705.63599999999997</v>
      </c>
      <c r="H5" s="33" t="s">
        <v>65</v>
      </c>
      <c r="I5" s="33" t="s">
        <v>65</v>
      </c>
      <c r="J5" s="33" t="s">
        <v>65</v>
      </c>
      <c r="K5" s="33" t="s">
        <v>65</v>
      </c>
      <c r="L5" s="33" t="s">
        <v>65</v>
      </c>
      <c r="M5" s="33" t="s">
        <v>65</v>
      </c>
      <c r="N5" s="33" t="s">
        <v>65</v>
      </c>
      <c r="O5" s="33" t="s">
        <v>65</v>
      </c>
      <c r="P5" s="33" t="s">
        <v>65</v>
      </c>
      <c r="Q5" s="33" t="s">
        <v>65</v>
      </c>
      <c r="R5" s="33" t="s">
        <v>65</v>
      </c>
      <c r="S5" s="33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48">
        <f>-('Revenue Energy &amp; Other'!G6-'GP Energy &amp; Other'!G6)</f>
        <v>-767.34299999999996</v>
      </c>
      <c r="H6" s="33" t="s">
        <v>65</v>
      </c>
      <c r="I6" s="33" t="s">
        <v>65</v>
      </c>
      <c r="J6" s="33" t="s">
        <v>65</v>
      </c>
      <c r="K6" s="33" t="s">
        <v>65</v>
      </c>
      <c r="L6" s="33" t="s">
        <v>65</v>
      </c>
      <c r="M6" s="33" t="s">
        <v>65</v>
      </c>
      <c r="N6" s="33" t="s">
        <v>65</v>
      </c>
      <c r="O6" s="33" t="s">
        <v>65</v>
      </c>
      <c r="P6" s="33" t="s">
        <v>65</v>
      </c>
      <c r="Q6" s="33" t="s">
        <v>65</v>
      </c>
      <c r="R6" s="33" t="s">
        <v>65</v>
      </c>
      <c r="S6" s="33" t="s">
        <v>65</v>
      </c>
    </row>
    <row r="7" spans="1:19" ht="12" x14ac:dyDescent="0.25">
      <c r="B7" s="9" t="s">
        <v>133</v>
      </c>
      <c r="C7" s="65">
        <f>SUM(C5:C6)</f>
        <v>-170.93599999999998</v>
      </c>
      <c r="D7" s="65">
        <f t="shared" ref="D7:G7" si="0">SUM(D5:D6)</f>
        <v>-299.21999999999997</v>
      </c>
      <c r="E7" s="65">
        <f t="shared" si="0"/>
        <v>-650.79399999999998</v>
      </c>
      <c r="F7" s="65">
        <f t="shared" si="0"/>
        <v>-2103.56</v>
      </c>
      <c r="G7" s="65">
        <f t="shared" si="0"/>
        <v>-1472.9789999999998</v>
      </c>
      <c r="H7" s="35" t="s">
        <v>65</v>
      </c>
      <c r="I7" s="35" t="s">
        <v>65</v>
      </c>
      <c r="J7" s="35" t="s">
        <v>65</v>
      </c>
      <c r="K7" s="35" t="s">
        <v>65</v>
      </c>
      <c r="L7" s="35" t="s">
        <v>65</v>
      </c>
      <c r="M7" s="35" t="s">
        <v>65</v>
      </c>
      <c r="N7" s="35" t="s">
        <v>65</v>
      </c>
      <c r="O7" s="35" t="s">
        <v>65</v>
      </c>
      <c r="P7" s="35" t="s">
        <v>65</v>
      </c>
      <c r="Q7" s="35" t="s">
        <v>65</v>
      </c>
      <c r="R7" s="35" t="s">
        <v>65</v>
      </c>
      <c r="S7" s="35" t="s">
        <v>65</v>
      </c>
    </row>
    <row r="8" spans="1:19" x14ac:dyDescent="0.25">
      <c r="B8" s="8" t="s">
        <v>139</v>
      </c>
      <c r="C8" s="68">
        <f>-('Revenue Energy &amp; Other'!C8-'GP Energy &amp; Other'!C8)</f>
        <v>-176.43200000000002</v>
      </c>
      <c r="D8" s="48">
        <f>-('Revenue Energy &amp; Other'!D8-'GP Energy &amp; Other'!D8)</f>
        <v>-280.79100000000005</v>
      </c>
      <c r="E8" s="48">
        <f>-('Revenue Energy &amp; Other'!E8-'GP Energy &amp; Other'!E8)</f>
        <v>-478.92200000000003</v>
      </c>
      <c r="F8" s="48">
        <f>-('Revenue Energy &amp; Other'!F8-'GP Energy &amp; Other'!F8)</f>
        <v>0</v>
      </c>
      <c r="G8" s="48">
        <f>-('Revenue Energy &amp; Other'!G8-'GP Energy &amp; Other'!G8)</f>
        <v>0</v>
      </c>
      <c r="H8" s="33" t="s">
        <v>65</v>
      </c>
      <c r="I8" s="33" t="s">
        <v>65</v>
      </c>
      <c r="J8" s="33" t="s">
        <v>65</v>
      </c>
      <c r="K8" s="33" t="s">
        <v>65</v>
      </c>
      <c r="L8" s="33" t="s">
        <v>65</v>
      </c>
      <c r="M8" s="33" t="s">
        <v>65</v>
      </c>
      <c r="N8" s="33" t="s">
        <v>65</v>
      </c>
      <c r="O8" s="33" t="s">
        <v>65</v>
      </c>
      <c r="P8" s="33" t="s">
        <v>65</v>
      </c>
      <c r="Q8" s="33" t="s">
        <v>65</v>
      </c>
      <c r="R8" s="33" t="s">
        <v>65</v>
      </c>
      <c r="S8" s="33" t="s">
        <v>65</v>
      </c>
    </row>
    <row r="9" spans="1:19" ht="12.6" thickBot="1" x14ac:dyDescent="0.3">
      <c r="B9" s="75" t="s">
        <v>140</v>
      </c>
      <c r="C9" s="76">
        <f>SUM(C7:C8)</f>
        <v>-347.36799999999999</v>
      </c>
      <c r="D9" s="76">
        <f>SUM(D7:D8)</f>
        <v>-580.01099999999997</v>
      </c>
      <c r="E9" s="76">
        <f>SUM(E7:E8)</f>
        <v>-1129.7159999999999</v>
      </c>
      <c r="F9" s="76">
        <f>SUM(F7:F8)</f>
        <v>-2103.56</v>
      </c>
      <c r="G9" s="76">
        <f>SUM(G7:G8)</f>
        <v>-1472.9789999999998</v>
      </c>
      <c r="H9" s="81">
        <f>I9-G9</f>
        <v>-776.51671266493349</v>
      </c>
      <c r="I9" s="76">
        <f>-('Revenue Energy &amp; Other'!I9-'GP Energy &amp; Other'!I9)</f>
        <v>-2249.4957126649333</v>
      </c>
      <c r="J9" s="76">
        <f>-('Revenue Energy &amp; Other'!J9-'GP Energy &amp; Other'!J9)</f>
        <v>-2609.415026691323</v>
      </c>
      <c r="K9" s="76">
        <f>-('Revenue Energy &amp; Other'!K9-'GP Energy &amp; Other'!K9)</f>
        <v>-2922.544829894282</v>
      </c>
      <c r="L9" s="76">
        <f>-('Revenue Energy &amp; Other'!L9-'GP Energy &amp; Other'!L9)</f>
        <v>-3156.3484162858249</v>
      </c>
      <c r="M9" s="76">
        <f>-('Revenue Energy &amp; Other'!M9-'GP Energy &amp; Other'!M9)</f>
        <v>-3345.7293212629743</v>
      </c>
      <c r="N9" s="76">
        <f>-('Revenue Energy &amp; Other'!N9-'GP Energy &amp; Other'!N9)</f>
        <v>-3546.4730805387526</v>
      </c>
      <c r="O9" s="76">
        <f>-('Revenue Energy &amp; Other'!O9-'GP Energy &amp; Other'!O9)</f>
        <v>-3759.261465371078</v>
      </c>
      <c r="P9" s="76">
        <f>-('Revenue Energy &amp; Other'!P9-'GP Energy &amp; Other'!P9)</f>
        <v>-3984.8171532933434</v>
      </c>
      <c r="Q9" s="76">
        <f>-('Revenue Energy &amp; Other'!Q9-'GP Energy &amp; Other'!Q9)</f>
        <v>-4223.906182490944</v>
      </c>
      <c r="R9" s="76">
        <f>-('Revenue Energy &amp; Other'!R9-'GP Energy &amp; Other'!R9)</f>
        <v>-4477.340553440401</v>
      </c>
      <c r="S9" s="76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>
      <selection activeCell="C18" sqref="C18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81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D18" sqref="D1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158</v>
      </c>
    </row>
    <row r="2" spans="1:6" ht="15.6" x14ac:dyDescent="0.25">
      <c r="A2" s="1"/>
      <c r="B2" s="2"/>
    </row>
    <row r="3" spans="1:6" ht="13.2" x14ac:dyDescent="0.25">
      <c r="A3" s="1"/>
      <c r="B3" s="61" t="s">
        <v>172</v>
      </c>
    </row>
    <row r="5" spans="1:6" x14ac:dyDescent="0.25">
      <c r="F5" s="8" t="s">
        <v>121</v>
      </c>
    </row>
    <row r="6" spans="1:6" ht="12" x14ac:dyDescent="0.25">
      <c r="B6" s="20" t="s">
        <v>188</v>
      </c>
      <c r="C6" s="21" t="s">
        <v>118</v>
      </c>
      <c r="D6" s="21" t="s">
        <v>154</v>
      </c>
    </row>
    <row r="7" spans="1:6" x14ac:dyDescent="0.25">
      <c r="B7" s="8" t="s">
        <v>143</v>
      </c>
      <c r="C7" s="70">
        <f>(9575+11128)/145588</f>
        <v>0.14220265406489546</v>
      </c>
      <c r="D7" s="72">
        <f t="shared" ref="D7:D11" si="0">C7</f>
        <v>0.14220265406489546</v>
      </c>
    </row>
    <row r="8" spans="1:6" x14ac:dyDescent="0.25">
      <c r="B8" s="8" t="s">
        <v>144</v>
      </c>
      <c r="C8" s="72">
        <f>(11842+6878)/144077</f>
        <v>0.12993052326186691</v>
      </c>
      <c r="D8" s="72">
        <f t="shared" si="0"/>
        <v>0.12993052326186691</v>
      </c>
    </row>
    <row r="9" spans="1:6" x14ac:dyDescent="0.25">
      <c r="B9" s="8" t="s">
        <v>145</v>
      </c>
      <c r="C9" s="72">
        <f>(3230+7385)/110934</f>
        <v>9.5687525916310592E-2</v>
      </c>
      <c r="D9" s="72">
        <f t="shared" si="0"/>
        <v>9.5687525916310592E-2</v>
      </c>
    </row>
    <row r="10" spans="1:6" x14ac:dyDescent="0.25">
      <c r="B10" s="8" t="s">
        <v>146</v>
      </c>
      <c r="C10" s="72">
        <f>(9560+1214-720)/98678</f>
        <v>0.10188694541843167</v>
      </c>
      <c r="D10" s="72">
        <f t="shared" si="0"/>
        <v>0.10188694541843167</v>
      </c>
    </row>
    <row r="11" spans="1:6" x14ac:dyDescent="0.25">
      <c r="B11" s="8" t="s">
        <v>147</v>
      </c>
      <c r="C11" s="72">
        <f>(12259+8254+22710-14500)/230682</f>
        <v>0.1245133993983059</v>
      </c>
      <c r="D11" s="72">
        <f t="shared" si="0"/>
        <v>0.1245133993983059</v>
      </c>
    </row>
    <row r="12" spans="1:6" x14ac:dyDescent="0.25">
      <c r="B12" s="77" t="s">
        <v>148</v>
      </c>
      <c r="C12" s="73">
        <f>(-379+5376+2490)/24339</f>
        <v>0.30761329553391675</v>
      </c>
      <c r="D12" s="73"/>
    </row>
    <row r="13" spans="1:6" x14ac:dyDescent="0.25">
      <c r="B13" s="8" t="s">
        <v>149</v>
      </c>
      <c r="C13" s="72">
        <f>(917-1366+1041+1883)/23491</f>
        <v>0.10535949938274233</v>
      </c>
      <c r="D13" s="72">
        <f>C13</f>
        <v>0.10535949938274233</v>
      </c>
    </row>
    <row r="14" spans="1:6" x14ac:dyDescent="0.25">
      <c r="B14" s="77" t="s">
        <v>150</v>
      </c>
      <c r="C14" s="73">
        <f>(329065+657119)/3416890</f>
        <v>0.28862035359639904</v>
      </c>
      <c r="D14" s="73"/>
    </row>
    <row r="15" spans="1:6" x14ac:dyDescent="0.25">
      <c r="B15" s="8" t="s">
        <v>151</v>
      </c>
      <c r="C15" s="72">
        <f>(6587+9934+1794)/119713</f>
        <v>0.15299090324359091</v>
      </c>
      <c r="D15" s="72">
        <f>C15</f>
        <v>0.15299090324359091</v>
      </c>
    </row>
    <row r="16" spans="1:6" x14ac:dyDescent="0.25">
      <c r="B16" s="8" t="s">
        <v>152</v>
      </c>
      <c r="C16" s="72">
        <f>(364+770+1626-655)/14342</f>
        <v>0.14677171942546369</v>
      </c>
      <c r="D16" s="72">
        <f>C16</f>
        <v>0.14677171942546369</v>
      </c>
    </row>
    <row r="17" spans="2:4" x14ac:dyDescent="0.25">
      <c r="B17" s="77" t="s">
        <v>153</v>
      </c>
      <c r="C17" s="73">
        <f>(264.7+449.5)/18187.5</f>
        <v>3.9268728522336774E-2</v>
      </c>
      <c r="D17" s="73"/>
    </row>
    <row r="18" spans="2:4" ht="12" x14ac:dyDescent="0.25">
      <c r="B18" s="9" t="s">
        <v>118</v>
      </c>
      <c r="C18" s="74">
        <f>AVERAGE(C7:C17)</f>
        <v>0.14862232252402363</v>
      </c>
      <c r="D18" s="74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7" sqref="H7"/>
    </sheetView>
  </sheetViews>
  <sheetFormatPr defaultColWidth="9.109375" defaultRowHeight="11.4" x14ac:dyDescent="0.25"/>
  <cols>
    <col min="1" max="1" width="2" style="8" customWidth="1"/>
    <col min="2" max="2" width="25.6640625" style="8" bestFit="1" customWidth="1"/>
    <col min="3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76</v>
      </c>
    </row>
    <row r="3" spans="1:19" ht="12" x14ac:dyDescent="0.25">
      <c r="C3" s="89" t="s">
        <v>156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5" t="s">
        <v>162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7" t="s">
        <v>80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32">
        <f>'Revenue Energy &amp; Other'!G9+'Revenue automotive'!G11</f>
        <v>7410.982</v>
      </c>
      <c r="H5" s="33">
        <f>'Revenue Energy &amp; Other'!H9+'Revenue automotive'!H11</f>
        <v>10577.234</v>
      </c>
      <c r="I5" s="33">
        <f>G5+H5</f>
        <v>17988.216</v>
      </c>
      <c r="J5" s="33">
        <f>'Revenue Energy &amp; Other'!J9+'Revenue automotive'!J11</f>
        <v>23056.672880000002</v>
      </c>
      <c r="K5" s="33">
        <f>'Revenue Energy &amp; Other'!K9+'Revenue automotive'!K11</f>
        <v>41514.780577980957</v>
      </c>
      <c r="L5" s="33">
        <f>'Revenue Energy &amp; Other'!L9+'Revenue automotive'!L11</f>
        <v>55124.434679548234</v>
      </c>
      <c r="M5" s="33">
        <f>'Revenue Energy &amp; Other'!M9+'Revenue automotive'!M11</f>
        <v>71183.609225627253</v>
      </c>
      <c r="N5" s="33">
        <f>'Revenue Energy &amp; Other'!N9+'Revenue automotive'!N11</f>
        <v>76330.390080534518</v>
      </c>
      <c r="O5" s="33">
        <f>'Revenue Energy &amp; Other'!O9+'Revenue automotive'!O11</f>
        <v>81914.432877353174</v>
      </c>
      <c r="P5" s="33">
        <f>'Revenue Energy &amp; Other'!P9+'Revenue automotive'!P11</f>
        <v>85059.345517147638</v>
      </c>
      <c r="Q5" s="33">
        <f>'Revenue Energy &amp; Other'!Q9+'Revenue automotive'!Q11</f>
        <v>88344.249655849737</v>
      </c>
      <c r="R5" s="33">
        <f>'Revenue Energy &amp; Other'!R9+'Revenue automotive'!R11</f>
        <v>90309.118249813109</v>
      </c>
      <c r="S5" s="33">
        <f>'Revenue Energy &amp; Other'!S9+'Revenue automotive'!S11</f>
        <v>92325.163231706567</v>
      </c>
    </row>
    <row r="6" spans="1:19" x14ac:dyDescent="0.25">
      <c r="B6" s="8" t="s">
        <v>77</v>
      </c>
      <c r="C6" s="15">
        <f>C7/C5</f>
        <v>-0.30936584865814337</v>
      </c>
      <c r="D6" s="15">
        <f t="shared" ref="D6:G6" si="0">D7/D5</f>
        <v>-0.36893012575905765</v>
      </c>
      <c r="E6" s="15">
        <f t="shared" si="0"/>
        <v>-0.2932028488809354</v>
      </c>
      <c r="F6" s="15">
        <f t="shared" si="0"/>
        <v>-0.32780462822964784</v>
      </c>
      <c r="G6" s="15">
        <f t="shared" si="0"/>
        <v>-0.30951660657116697</v>
      </c>
      <c r="H6" s="71">
        <f>H10</f>
        <v>-0.26482586288194604</v>
      </c>
      <c r="I6" s="71"/>
      <c r="J6" s="71">
        <f>J10</f>
        <v>0.12491789626395092</v>
      </c>
      <c r="K6" s="71">
        <f t="shared" ref="K6:S6" si="1">K10</f>
        <v>0.12491789626395092</v>
      </c>
      <c r="L6" s="71">
        <f t="shared" si="1"/>
        <v>0.12491789626395092</v>
      </c>
      <c r="M6" s="71">
        <f t="shared" si="1"/>
        <v>0.12491789626395092</v>
      </c>
      <c r="N6" s="71">
        <f t="shared" si="1"/>
        <v>0.12491789626395092</v>
      </c>
      <c r="O6" s="71">
        <f t="shared" si="1"/>
        <v>0.12491789626395092</v>
      </c>
      <c r="P6" s="71">
        <f t="shared" si="1"/>
        <v>0.12491789626395092</v>
      </c>
      <c r="Q6" s="71">
        <f t="shared" si="1"/>
        <v>0.12491789626395092</v>
      </c>
      <c r="R6" s="71">
        <f t="shared" si="1"/>
        <v>0.12491789626395092</v>
      </c>
      <c r="S6" s="71">
        <f t="shared" si="1"/>
        <v>0.12491789626395092</v>
      </c>
    </row>
    <row r="7" spans="1:19" ht="12" x14ac:dyDescent="0.25">
      <c r="B7" s="65" t="s">
        <v>76</v>
      </c>
      <c r="C7" s="65">
        <f>('P&amp;L Input'!C12+'P&amp;L Input'!C13+'P&amp;L Input'!C14)/1000</f>
        <v>-1068.3599999999999</v>
      </c>
      <c r="D7" s="65">
        <f>('P&amp;L Input'!D12+'P&amp;L Input'!D13+'P&amp;L Input'!D14)/1000</f>
        <v>-1640.1320000000001</v>
      </c>
      <c r="E7" s="65">
        <f>('P&amp;L Input'!E12+'P&amp;L Input'!E13+'P&amp;L Input'!E14)/1000</f>
        <v>-2266.5970000000002</v>
      </c>
      <c r="F7" s="65">
        <f>('P&amp;L Input'!F12+'P&amp;L Input'!F13+'P&amp;L Input'!F14)/1000</f>
        <v>-3854.5729999999999</v>
      </c>
      <c r="G7" s="65">
        <f>('P&amp;L Input'!G12+'P&amp;L Input'!G13+'P&amp;L Input'!G14)/1000</f>
        <v>-2293.8220000000001</v>
      </c>
      <c r="H7" s="35">
        <f>H5*H6</f>
        <v>-2801.1251209542579</v>
      </c>
      <c r="I7" s="35">
        <f>G7+H7</f>
        <v>-5094.947120954258</v>
      </c>
      <c r="J7" s="35">
        <f>-J5*J6</f>
        <v>-2880.1910710156908</v>
      </c>
      <c r="K7" s="35">
        <f t="shared" ref="K7:S7" si="2">-K5*K6</f>
        <v>-5185.9390536609098</v>
      </c>
      <c r="L7" s="35">
        <f t="shared" si="2"/>
        <v>-6886.0284129087449</v>
      </c>
      <c r="M7" s="35">
        <f t="shared" si="2"/>
        <v>-8892.1067129405255</v>
      </c>
      <c r="N7" s="35">
        <f t="shared" si="2"/>
        <v>-9535.0317498671193</v>
      </c>
      <c r="O7" s="35">
        <f t="shared" si="2"/>
        <v>-10232.578628693575</v>
      </c>
      <c r="P7" s="35">
        <f t="shared" si="2"/>
        <v>-10625.434499590607</v>
      </c>
      <c r="Q7" s="35">
        <f t="shared" si="2"/>
        <v>-11035.77781402602</v>
      </c>
      <c r="R7" s="35">
        <f t="shared" si="2"/>
        <v>-11281.225065219031</v>
      </c>
      <c r="S7" s="35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50" t="s">
        <v>73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</row>
    <row r="10" spans="1:19" x14ac:dyDescent="0.25">
      <c r="B10" s="51" t="s">
        <v>155</v>
      </c>
      <c r="C10" s="69"/>
      <c r="D10" s="69"/>
      <c r="E10" s="69"/>
      <c r="F10" s="69"/>
      <c r="G10" s="51"/>
      <c r="H10" s="53">
        <f>CHOOSE(Drivers!$C$3,Opex!H14,Opex!H17,Opex!H20)</f>
        <v>-0.26482586288194604</v>
      </c>
      <c r="I10" s="53"/>
      <c r="J10" s="53">
        <f>CHOOSE(Drivers!$C$3,Opex!J14,Opex!J17,Opex!J20)</f>
        <v>0.12491789626395092</v>
      </c>
      <c r="K10" s="53">
        <f>CHOOSE(Drivers!$C$3,Opex!K14,Opex!K17,Opex!K20)</f>
        <v>0.12491789626395092</v>
      </c>
      <c r="L10" s="53">
        <f>CHOOSE(Drivers!$C$3,Opex!L14,Opex!L17,Opex!L20)</f>
        <v>0.12491789626395092</v>
      </c>
      <c r="M10" s="53">
        <f>CHOOSE(Drivers!$C$3,Opex!M14,Opex!M17,Opex!M20)</f>
        <v>0.12491789626395092</v>
      </c>
      <c r="N10" s="53">
        <f>CHOOSE(Drivers!$C$3,Opex!N14,Opex!N17,Opex!N20)</f>
        <v>0.12491789626395092</v>
      </c>
      <c r="O10" s="53">
        <f>CHOOSE(Drivers!$C$3,Opex!O14,Opex!O17,Opex!O20)</f>
        <v>0.12491789626395092</v>
      </c>
      <c r="P10" s="53">
        <f>CHOOSE(Drivers!$C$3,Opex!P14,Opex!P17,Opex!P20)</f>
        <v>0.12491789626395092</v>
      </c>
      <c r="Q10" s="53">
        <f>CHOOSE(Drivers!$C$3,Opex!Q14,Opex!Q17,Opex!Q20)</f>
        <v>0.12491789626395092</v>
      </c>
      <c r="R10" s="53">
        <f>CHOOSE(Drivers!$C$3,Opex!R14,Opex!R17,Opex!R20)</f>
        <v>0.12491789626395092</v>
      </c>
      <c r="S10" s="53">
        <f>CHOOSE(Drivers!$C$3,Opex!S14,Opex!S17,Opex!S20)</f>
        <v>0.12491789626395092</v>
      </c>
    </row>
    <row r="11" spans="1:19" x14ac:dyDescent="0.25">
      <c r="B11" s="51"/>
      <c r="C11" s="54"/>
      <c r="D11" s="54"/>
      <c r="E11" s="54"/>
      <c r="F11" s="54"/>
      <c r="G11" s="51"/>
      <c r="H11" s="51"/>
      <c r="I11" s="54"/>
      <c r="J11" s="54"/>
      <c r="K11" s="52"/>
      <c r="L11" s="52"/>
      <c r="M11" s="52"/>
      <c r="N11" s="52"/>
      <c r="O11" s="52"/>
      <c r="P11" s="52"/>
      <c r="Q11" s="52"/>
      <c r="R11" s="52"/>
      <c r="S11" s="52"/>
    </row>
    <row r="12" spans="1:19" x14ac:dyDescent="0.25">
      <c r="B12" s="67" t="s">
        <v>142</v>
      </c>
      <c r="C12" s="54"/>
      <c r="D12" s="54"/>
      <c r="E12" s="54"/>
      <c r="F12" s="54"/>
      <c r="G12" s="51"/>
      <c r="H12" s="51"/>
      <c r="I12" s="54"/>
      <c r="J12" s="54"/>
      <c r="K12" s="52"/>
      <c r="L12" s="52"/>
      <c r="M12" s="52"/>
      <c r="N12" s="52"/>
      <c r="O12" s="52"/>
      <c r="P12" s="52"/>
      <c r="Q12" s="52"/>
      <c r="R12" s="52"/>
      <c r="S12" s="52"/>
    </row>
    <row r="13" spans="1:19" x14ac:dyDescent="0.25">
      <c r="B13" s="50" t="s">
        <v>69</v>
      </c>
      <c r="C13" s="51"/>
      <c r="D13" s="51"/>
      <c r="E13" s="51"/>
      <c r="F13" s="51"/>
      <c r="G13" s="51"/>
      <c r="H13" s="51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</row>
    <row r="14" spans="1:19" x14ac:dyDescent="0.25">
      <c r="B14" s="51" t="s">
        <v>155</v>
      </c>
      <c r="C14" s="54"/>
      <c r="D14" s="38"/>
      <c r="E14" s="38"/>
      <c r="F14" s="38"/>
      <c r="G14" s="51"/>
      <c r="H14" s="53">
        <f>H17-3%</f>
        <v>-0.29482586288194601</v>
      </c>
      <c r="I14" s="53"/>
      <c r="J14" s="53">
        <f>J17-2%</f>
        <v>0.10491789626395091</v>
      </c>
      <c r="K14" s="53">
        <f t="shared" ref="K14:S14" si="3">K17-2%</f>
        <v>0.10491789626395091</v>
      </c>
      <c r="L14" s="53">
        <f t="shared" si="3"/>
        <v>0.10491789626395091</v>
      </c>
      <c r="M14" s="53">
        <f t="shared" si="3"/>
        <v>0.10491789626395091</v>
      </c>
      <c r="N14" s="53">
        <f t="shared" si="3"/>
        <v>0.10491789626395091</v>
      </c>
      <c r="O14" s="53">
        <f t="shared" si="3"/>
        <v>0.10491789626395091</v>
      </c>
      <c r="P14" s="53">
        <f t="shared" si="3"/>
        <v>0.10491789626395091</v>
      </c>
      <c r="Q14" s="53">
        <f t="shared" si="3"/>
        <v>0.10491789626395091</v>
      </c>
      <c r="R14" s="53">
        <f t="shared" si="3"/>
        <v>0.10491789626395091</v>
      </c>
      <c r="S14" s="53">
        <f t="shared" si="3"/>
        <v>0.10491789626395091</v>
      </c>
    </row>
    <row r="15" spans="1:19" x14ac:dyDescent="0.25">
      <c r="B15" s="51"/>
      <c r="C15" s="54"/>
      <c r="D15" s="54"/>
      <c r="E15" s="54"/>
      <c r="F15" s="54"/>
      <c r="G15" s="51"/>
      <c r="H15" s="51"/>
      <c r="I15" s="54"/>
      <c r="J15" s="54"/>
      <c r="K15" s="52"/>
      <c r="L15" s="52"/>
      <c r="M15" s="52"/>
      <c r="N15" s="52"/>
      <c r="O15" s="52"/>
      <c r="P15" s="52"/>
      <c r="Q15" s="52"/>
      <c r="R15" s="52"/>
      <c r="S15" s="52"/>
    </row>
    <row r="16" spans="1:19" x14ac:dyDescent="0.25">
      <c r="B16" s="50" t="s">
        <v>70</v>
      </c>
      <c r="C16" s="51"/>
      <c r="D16" s="51"/>
      <c r="E16" s="51"/>
      <c r="F16" s="51"/>
      <c r="G16" s="51"/>
      <c r="H16" s="51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</row>
    <row r="17" spans="2:19" x14ac:dyDescent="0.25">
      <c r="B17" s="51" t="s">
        <v>155</v>
      </c>
      <c r="C17" s="54"/>
      <c r="D17" s="38"/>
      <c r="E17" s="38"/>
      <c r="F17" s="38"/>
      <c r="G17" s="51"/>
      <c r="H17" s="53">
        <f>AVERAGE(C6:F6)+6%</f>
        <v>-0.26482586288194604</v>
      </c>
      <c r="I17" s="53"/>
      <c r="J17" s="53">
        <f>'Opex comparables'!$D$18</f>
        <v>0.12491789626395092</v>
      </c>
      <c r="K17" s="53">
        <f>'Opex comparables'!$D$18</f>
        <v>0.12491789626395092</v>
      </c>
      <c r="L17" s="53">
        <f>'Opex comparables'!$D$18</f>
        <v>0.12491789626395092</v>
      </c>
      <c r="M17" s="53">
        <f>'Opex comparables'!$D$18</f>
        <v>0.12491789626395092</v>
      </c>
      <c r="N17" s="53">
        <f>'Opex comparables'!$D$18</f>
        <v>0.12491789626395092</v>
      </c>
      <c r="O17" s="53">
        <f>'Opex comparables'!$D$18</f>
        <v>0.12491789626395092</v>
      </c>
      <c r="P17" s="53">
        <f>'Opex comparables'!$D$18</f>
        <v>0.12491789626395092</v>
      </c>
      <c r="Q17" s="53">
        <f>'Opex comparables'!$D$18</f>
        <v>0.12491789626395092</v>
      </c>
      <c r="R17" s="53">
        <f>'Opex comparables'!$D$18</f>
        <v>0.12491789626395092</v>
      </c>
      <c r="S17" s="53">
        <f>'Opex comparables'!$D$18</f>
        <v>0.12491789626395092</v>
      </c>
    </row>
    <row r="18" spans="2:19" x14ac:dyDescent="0.25">
      <c r="B18" s="51"/>
      <c r="C18" s="54"/>
      <c r="D18" s="54"/>
      <c r="E18" s="54"/>
      <c r="F18" s="54"/>
      <c r="G18" s="51"/>
      <c r="H18" s="52"/>
      <c r="I18" s="54"/>
      <c r="J18" s="54"/>
      <c r="K18" s="52"/>
      <c r="L18" s="52"/>
      <c r="M18" s="52"/>
      <c r="N18" s="52"/>
      <c r="O18" s="52"/>
      <c r="P18" s="52"/>
      <c r="Q18" s="52"/>
      <c r="R18" s="52"/>
      <c r="S18" s="52"/>
    </row>
    <row r="19" spans="2:19" x14ac:dyDescent="0.25">
      <c r="B19" s="50" t="s">
        <v>71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</row>
    <row r="20" spans="2:19" x14ac:dyDescent="0.25">
      <c r="B20" s="51" t="s">
        <v>155</v>
      </c>
      <c r="C20" s="54"/>
      <c r="D20" s="38"/>
      <c r="E20" s="38"/>
      <c r="F20" s="38"/>
      <c r="G20" s="51"/>
      <c r="H20" s="53">
        <f>H17+3%</f>
        <v>-0.23482586288194604</v>
      </c>
      <c r="I20" s="53"/>
      <c r="J20" s="53">
        <f>J17+2%</f>
        <v>0.14491789626395091</v>
      </c>
      <c r="K20" s="53">
        <f t="shared" ref="K20:S20" si="4">K17+2%</f>
        <v>0.14491789626395091</v>
      </c>
      <c r="L20" s="53">
        <f t="shared" si="4"/>
        <v>0.14491789626395091</v>
      </c>
      <c r="M20" s="53">
        <f t="shared" si="4"/>
        <v>0.14491789626395091</v>
      </c>
      <c r="N20" s="53">
        <f t="shared" si="4"/>
        <v>0.14491789626395091</v>
      </c>
      <c r="O20" s="53">
        <f t="shared" si="4"/>
        <v>0.14491789626395091</v>
      </c>
      <c r="P20" s="53">
        <f t="shared" si="4"/>
        <v>0.14491789626395091</v>
      </c>
      <c r="Q20" s="53">
        <f t="shared" si="4"/>
        <v>0.14491789626395091</v>
      </c>
      <c r="R20" s="53">
        <f t="shared" si="4"/>
        <v>0.14491789626395091</v>
      </c>
      <c r="S20" s="53">
        <f t="shared" si="4"/>
        <v>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85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84</v>
      </c>
      <c r="G3" s="57" t="s">
        <v>92</v>
      </c>
    </row>
    <row r="4" spans="2:7" x14ac:dyDescent="0.25">
      <c r="B4" s="7" t="s">
        <v>78</v>
      </c>
      <c r="C4" s="30">
        <v>3007012</v>
      </c>
      <c r="D4" s="30">
        <v>3740973</v>
      </c>
      <c r="E4" s="30">
        <v>6350766</v>
      </c>
      <c r="F4" s="30">
        <v>9641300</v>
      </c>
      <c r="G4" s="31">
        <v>6092998</v>
      </c>
    </row>
    <row r="5" spans="2:7" x14ac:dyDescent="0.25">
      <c r="B5" s="8" t="s">
        <v>3</v>
      </c>
      <c r="C5" s="32">
        <v>4208</v>
      </c>
      <c r="D5" s="32">
        <v>14477</v>
      </c>
      <c r="E5" s="32">
        <v>181394</v>
      </c>
      <c r="F5" s="32">
        <v>1116266</v>
      </c>
      <c r="G5" s="33">
        <v>784430</v>
      </c>
    </row>
    <row r="6" spans="2:7" x14ac:dyDescent="0.25">
      <c r="B6" s="8" t="s">
        <v>2</v>
      </c>
      <c r="C6" s="32">
        <v>187136</v>
      </c>
      <c r="D6" s="32">
        <v>290575</v>
      </c>
      <c r="E6" s="32">
        <v>467972</v>
      </c>
      <c r="F6" s="32">
        <v>1001185</v>
      </c>
      <c r="G6" s="33">
        <v>533554</v>
      </c>
    </row>
    <row r="7" spans="2:7" x14ac:dyDescent="0.25">
      <c r="B7" s="9" t="s">
        <v>0</v>
      </c>
      <c r="C7" s="34">
        <f>SUM(C4:C6)</f>
        <v>3198356</v>
      </c>
      <c r="D7" s="34">
        <f>SUM(D4:D6)</f>
        <v>4046025</v>
      </c>
      <c r="E7" s="34">
        <f>SUM(E4:E6)</f>
        <v>7000132</v>
      </c>
      <c r="F7" s="34">
        <f>SUM(F4:F6)</f>
        <v>11758751</v>
      </c>
      <c r="G7" s="35">
        <f>SUM(G4:G6)</f>
        <v>7410982</v>
      </c>
    </row>
    <row r="8" spans="2:7" x14ac:dyDescent="0.25">
      <c r="B8" s="8" t="s">
        <v>42</v>
      </c>
      <c r="C8" s="32">
        <v>-2145749</v>
      </c>
      <c r="D8" s="32">
        <v>-2823302</v>
      </c>
      <c r="E8" s="32">
        <v>-4750081</v>
      </c>
      <c r="F8" s="32">
        <v>-7432704</v>
      </c>
      <c r="G8" s="33">
        <v>-4862547</v>
      </c>
    </row>
    <row r="9" spans="2:7" x14ac:dyDescent="0.25">
      <c r="B9" s="8" t="s">
        <v>40</v>
      </c>
      <c r="C9" s="32">
        <v>-4005</v>
      </c>
      <c r="D9" s="32">
        <v>-12287</v>
      </c>
      <c r="E9" s="32">
        <v>-178332</v>
      </c>
      <c r="F9" s="32">
        <v>-874538</v>
      </c>
      <c r="G9" s="33">
        <v>-705636</v>
      </c>
    </row>
    <row r="10" spans="2:7" x14ac:dyDescent="0.25">
      <c r="B10" s="8" t="s">
        <v>41</v>
      </c>
      <c r="C10" s="32">
        <v>-166931</v>
      </c>
      <c r="D10" s="32">
        <v>-286933</v>
      </c>
      <c r="E10" s="32">
        <v>-472462</v>
      </c>
      <c r="F10" s="32">
        <v>-1229022</v>
      </c>
      <c r="G10" s="33">
        <v>-767343</v>
      </c>
    </row>
    <row r="11" spans="2:7" x14ac:dyDescent="0.25">
      <c r="B11" s="9" t="s">
        <v>1</v>
      </c>
      <c r="C11" s="34">
        <f>SUM(C7:C10)</f>
        <v>881671</v>
      </c>
      <c r="D11" s="34">
        <f>SUM(D7:D10)</f>
        <v>923503</v>
      </c>
      <c r="E11" s="34">
        <f>SUM(E7:E10)</f>
        <v>1599257</v>
      </c>
      <c r="F11" s="34">
        <f>SUM(F7:F10)</f>
        <v>2222487</v>
      </c>
      <c r="G11" s="35">
        <f>SUM(G7:G10)</f>
        <v>1075456</v>
      </c>
    </row>
    <row r="12" spans="2:7" x14ac:dyDescent="0.25">
      <c r="B12" s="8" t="s">
        <v>4</v>
      </c>
      <c r="C12" s="32">
        <v>-464700</v>
      </c>
      <c r="D12" s="32">
        <v>-717900</v>
      </c>
      <c r="E12" s="32">
        <v>-834408</v>
      </c>
      <c r="F12" s="32">
        <v>-1378073</v>
      </c>
      <c r="G12" s="33">
        <v>-753225</v>
      </c>
    </row>
    <row r="13" spans="2:7" x14ac:dyDescent="0.25">
      <c r="B13" s="8" t="s">
        <v>33</v>
      </c>
      <c r="C13" s="32">
        <v>-603660</v>
      </c>
      <c r="D13" s="32">
        <v>-922232</v>
      </c>
      <c r="E13" s="32">
        <v>-1432189</v>
      </c>
      <c r="F13" s="32">
        <v>-2476500</v>
      </c>
      <c r="G13" s="33">
        <v>-1437163</v>
      </c>
    </row>
    <row r="14" spans="2:7" x14ac:dyDescent="0.25">
      <c r="B14" s="8" t="s">
        <v>89</v>
      </c>
      <c r="C14" s="32"/>
      <c r="D14" s="32"/>
      <c r="E14" s="32"/>
      <c r="F14" s="32"/>
      <c r="G14" s="33">
        <v>-103434</v>
      </c>
    </row>
    <row r="15" spans="2:7" x14ac:dyDescent="0.25">
      <c r="B15" s="9" t="s">
        <v>43</v>
      </c>
      <c r="C15" s="34">
        <f t="shared" ref="C15:F15" si="0">SUM(C11:C14)</f>
        <v>-186689</v>
      </c>
      <c r="D15" s="34">
        <f t="shared" si="0"/>
        <v>-716629</v>
      </c>
      <c r="E15" s="34">
        <f t="shared" si="0"/>
        <v>-667340</v>
      </c>
      <c r="F15" s="34">
        <f t="shared" si="0"/>
        <v>-1632086</v>
      </c>
      <c r="G15" s="35">
        <f>SUM(G11:G14)</f>
        <v>-1218366</v>
      </c>
    </row>
    <row r="16" spans="2:7" x14ac:dyDescent="0.25">
      <c r="B16" s="8" t="s">
        <v>34</v>
      </c>
      <c r="C16" s="32">
        <v>1126</v>
      </c>
      <c r="D16" s="32">
        <v>1508</v>
      </c>
      <c r="E16" s="32">
        <v>8530</v>
      </c>
      <c r="F16" s="32">
        <v>19686</v>
      </c>
      <c r="G16" s="33">
        <v>10278</v>
      </c>
    </row>
    <row r="17" spans="2:7" x14ac:dyDescent="0.25">
      <c r="B17" s="8" t="s">
        <v>5</v>
      </c>
      <c r="C17" s="32">
        <v>-100886</v>
      </c>
      <c r="D17" s="32">
        <v>-118851</v>
      </c>
      <c r="E17" s="32">
        <v>-198810</v>
      </c>
      <c r="F17" s="32">
        <v>-471259</v>
      </c>
      <c r="G17" s="33">
        <v>-313128</v>
      </c>
    </row>
    <row r="18" spans="2:7" x14ac:dyDescent="0.25">
      <c r="B18" s="8" t="s">
        <v>35</v>
      </c>
      <c r="C18" s="32">
        <v>1813</v>
      </c>
      <c r="D18" s="32">
        <v>-41652</v>
      </c>
      <c r="E18" s="32">
        <v>111272</v>
      </c>
      <c r="F18" s="32">
        <v>-125373</v>
      </c>
      <c r="G18" s="33">
        <v>13195</v>
      </c>
    </row>
    <row r="19" spans="2:7" x14ac:dyDescent="0.25">
      <c r="B19" s="9" t="s">
        <v>44</v>
      </c>
      <c r="C19" s="34">
        <f>SUM(C15:C18)</f>
        <v>-284636</v>
      </c>
      <c r="D19" s="34">
        <f>SUM(D15:D18)</f>
        <v>-875624</v>
      </c>
      <c r="E19" s="34">
        <f>SUM(E15:E18)</f>
        <v>-746348</v>
      </c>
      <c r="F19" s="34">
        <f>SUM(F15:F18)</f>
        <v>-2209032</v>
      </c>
      <c r="G19" s="35">
        <f>SUM(G15:G18)</f>
        <v>-1508021</v>
      </c>
    </row>
    <row r="20" spans="2:7" x14ac:dyDescent="0.25">
      <c r="B20" s="8" t="s">
        <v>6</v>
      </c>
      <c r="C20" s="32">
        <v>-9404</v>
      </c>
      <c r="D20" s="32">
        <v>-13039</v>
      </c>
      <c r="E20" s="32">
        <v>-26698</v>
      </c>
      <c r="F20" s="32">
        <v>-31546</v>
      </c>
      <c r="G20" s="33">
        <v>-19312</v>
      </c>
    </row>
    <row r="21" spans="2:7" x14ac:dyDescent="0.25">
      <c r="B21" s="9" t="s">
        <v>58</v>
      </c>
      <c r="C21" s="34">
        <f>SUM(C19:C20)</f>
        <v>-294040</v>
      </c>
      <c r="D21" s="34">
        <f>SUM(D19:D20)</f>
        <v>-888663</v>
      </c>
      <c r="E21" s="34">
        <f>SUM(E19:E20)</f>
        <v>-773046</v>
      </c>
      <c r="F21" s="34">
        <f>SUM(F19:F20)</f>
        <v>-2240578</v>
      </c>
      <c r="G21" s="35">
        <f>SUM(G19:G20)</f>
        <v>-1527333</v>
      </c>
    </row>
    <row r="22" spans="2:7" s="3" customFormat="1" x14ac:dyDescent="0.25">
      <c r="B22" s="8" t="s">
        <v>59</v>
      </c>
      <c r="C22" s="32">
        <v>0</v>
      </c>
      <c r="D22" s="32">
        <v>0</v>
      </c>
      <c r="E22" s="32">
        <v>98132</v>
      </c>
      <c r="F22" s="32">
        <v>279178</v>
      </c>
      <c r="G22" s="33">
        <v>100243</v>
      </c>
    </row>
    <row r="23" spans="2:7" s="3" customFormat="1" ht="13.8" thickBot="1" x14ac:dyDescent="0.3">
      <c r="B23" s="10" t="s">
        <v>36</v>
      </c>
      <c r="C23" s="36">
        <f>SUM(C21:C22)</f>
        <v>-294040</v>
      </c>
      <c r="D23" s="36">
        <f>SUM(D21:D22)</f>
        <v>-888663</v>
      </c>
      <c r="E23" s="36">
        <f>SUM(E21:E22)</f>
        <v>-674914</v>
      </c>
      <c r="F23" s="36">
        <f>SUM(F21:F22)</f>
        <v>-1961400</v>
      </c>
      <c r="G23" s="37">
        <f>SUM(G21:G22)</f>
        <v>-1427090</v>
      </c>
    </row>
    <row r="25" spans="2:7" x14ac:dyDescent="0.2">
      <c r="B25" s="29" t="s">
        <v>90</v>
      </c>
      <c r="C25" s="28"/>
      <c r="D25" s="28"/>
      <c r="E25" s="28"/>
      <c r="F25" s="28"/>
      <c r="G25" s="28"/>
    </row>
    <row r="26" spans="2:7" x14ac:dyDescent="0.2">
      <c r="B26" s="28" t="s">
        <v>178</v>
      </c>
      <c r="C26" s="38"/>
      <c r="D26" s="38">
        <f t="shared" ref="D26:F28" si="1">D4/C4-1</f>
        <v>0.2440831629537894</v>
      </c>
      <c r="E26" s="38">
        <f t="shared" si="1"/>
        <v>0.69762412078355007</v>
      </c>
      <c r="F26" s="38">
        <f t="shared" si="1"/>
        <v>0.51813182850698647</v>
      </c>
      <c r="G26" s="38"/>
    </row>
    <row r="27" spans="2:7" x14ac:dyDescent="0.2">
      <c r="B27" s="28" t="s">
        <v>179</v>
      </c>
      <c r="C27" s="38"/>
      <c r="D27" s="38">
        <f t="shared" si="1"/>
        <v>2.440351711026616</v>
      </c>
      <c r="E27" s="38">
        <f t="shared" si="1"/>
        <v>11.529805899012226</v>
      </c>
      <c r="F27" s="38">
        <f t="shared" si="1"/>
        <v>5.1538198617374338</v>
      </c>
      <c r="G27" s="38"/>
    </row>
    <row r="28" spans="2:7" x14ac:dyDescent="0.2">
      <c r="B28" s="28" t="s">
        <v>180</v>
      </c>
      <c r="C28" s="38"/>
      <c r="D28" s="38">
        <f t="shared" si="1"/>
        <v>0.55274773426812596</v>
      </c>
      <c r="E28" s="38">
        <f t="shared" si="1"/>
        <v>0.61050331239783184</v>
      </c>
      <c r="F28" s="38">
        <f t="shared" si="1"/>
        <v>1.1394121870539262</v>
      </c>
      <c r="G28" s="38"/>
    </row>
    <row r="29" spans="2:7" x14ac:dyDescent="0.2">
      <c r="B29" s="28" t="s">
        <v>60</v>
      </c>
      <c r="C29" s="38">
        <f>(C4+C8)/C4</f>
        <v>0.28641821183287597</v>
      </c>
      <c r="D29" s="38">
        <f t="shared" ref="D29:G29" si="2">(D4+D8)/D4</f>
        <v>0.24530275946926108</v>
      </c>
      <c r="E29" s="38">
        <f t="shared" si="2"/>
        <v>0.2520459736667986</v>
      </c>
      <c r="F29" s="38">
        <f t="shared" si="2"/>
        <v>0.2290765768101812</v>
      </c>
      <c r="G29" s="38">
        <f t="shared" si="2"/>
        <v>0.20194508516168888</v>
      </c>
    </row>
    <row r="30" spans="2:7" x14ac:dyDescent="0.2">
      <c r="B30" s="28" t="s">
        <v>61</v>
      </c>
      <c r="C30" s="38">
        <f t="shared" ref="C30:G30" si="3">(C5+C9)/C5</f>
        <v>4.8241444866920155E-2</v>
      </c>
      <c r="D30" s="38">
        <f t="shared" si="3"/>
        <v>0.15127443531118326</v>
      </c>
      <c r="E30" s="38">
        <f t="shared" si="3"/>
        <v>1.688038193104513E-2</v>
      </c>
      <c r="F30" s="38">
        <f t="shared" si="3"/>
        <v>0.21655053544585251</v>
      </c>
      <c r="G30" s="38">
        <f t="shared" si="3"/>
        <v>0.10044745866425303</v>
      </c>
    </row>
    <row r="31" spans="2:7" x14ac:dyDescent="0.2">
      <c r="B31" s="28" t="s">
        <v>62</v>
      </c>
      <c r="C31" s="38">
        <f t="shared" ref="C31:G31" si="4">(C6+C10)/C6</f>
        <v>0.10796960499316005</v>
      </c>
      <c r="D31" s="38">
        <f t="shared" si="4"/>
        <v>1.2533769250623763E-2</v>
      </c>
      <c r="E31" s="38">
        <f t="shared" si="4"/>
        <v>-9.5945911293838088E-3</v>
      </c>
      <c r="F31" s="38">
        <f t="shared" si="4"/>
        <v>-0.22756733271073779</v>
      </c>
      <c r="G31" s="38">
        <f t="shared" si="4"/>
        <v>-0.43817308088778267</v>
      </c>
    </row>
    <row r="32" spans="2:7" x14ac:dyDescent="0.2">
      <c r="B32" s="28" t="s">
        <v>63</v>
      </c>
      <c r="C32" s="38">
        <f>(SUM(C4:C6)+SUM(C8:C10))/SUM(C4:C6)</f>
        <v>0.27566380978227567</v>
      </c>
      <c r="D32" s="38">
        <f>(SUM(D4:D6)+SUM(D8:D10))/SUM(D4:D6)</f>
        <v>0.22824945471172323</v>
      </c>
      <c r="E32" s="38">
        <f>(SUM(E4:E6)+SUM(E8:E10))/SUM(E4:E6)</f>
        <v>0.22846097759299397</v>
      </c>
      <c r="F32" s="38">
        <f>(SUM(F4:F6)+SUM(F8:F10))/SUM(F4:F6)</f>
        <v>0.18900706376042831</v>
      </c>
      <c r="G32" s="38">
        <f>(SUM(G4:G6)+SUM(G8:G10))/SUM(G4:G6)</f>
        <v>0.14511653111557957</v>
      </c>
    </row>
    <row r="33" spans="2:7" x14ac:dyDescent="0.2">
      <c r="B33" s="28" t="s">
        <v>57</v>
      </c>
      <c r="C33" s="38">
        <f>C15/C7</f>
        <v>-5.8370300241749197E-2</v>
      </c>
      <c r="D33" s="38">
        <f t="shared" ref="D33:G33" si="5">D15/D7</f>
        <v>-0.17711927138364197</v>
      </c>
      <c r="E33" s="38">
        <f t="shared" si="5"/>
        <v>-9.533248801594027E-2</v>
      </c>
      <c r="F33" s="38">
        <f t="shared" si="5"/>
        <v>-0.13879756446921956</v>
      </c>
      <c r="G33" s="38">
        <f t="shared" si="5"/>
        <v>-0.16440007545558741</v>
      </c>
    </row>
    <row r="34" spans="2:7" x14ac:dyDescent="0.2">
      <c r="B34" s="28" t="s">
        <v>64</v>
      </c>
      <c r="C34" s="38">
        <f>C23/C7</f>
        <v>-9.1934731468291842E-2</v>
      </c>
      <c r="D34" s="38">
        <f t="shared" ref="D34:G34" si="6">D23/D7</f>
        <v>-0.21963853411681836</v>
      </c>
      <c r="E34" s="38">
        <f t="shared" si="6"/>
        <v>-9.6414467612896446E-2</v>
      </c>
      <c r="F34" s="38">
        <f t="shared" si="6"/>
        <v>-0.16680343005817538</v>
      </c>
      <c r="G34" s="38">
        <f t="shared" si="6"/>
        <v>-0.19256422428228809</v>
      </c>
    </row>
    <row r="35" spans="2:7" x14ac:dyDescent="0.2">
      <c r="B35" s="28" t="s">
        <v>55</v>
      </c>
      <c r="C35" s="38">
        <f>C23/'Balance Sheet Input'!C17</f>
        <v>-5.0429907933346216E-2</v>
      </c>
      <c r="D35" s="38">
        <f>D23/'Balance Sheet Input'!D17</f>
        <v>-0.11014746145205113</v>
      </c>
      <c r="E35" s="38">
        <f>E23/'Balance Sheet Input'!E17</f>
        <v>-2.9779021214012873E-2</v>
      </c>
      <c r="F35" s="38">
        <f>F23/'Balance Sheet Input'!F17</f>
        <v>-6.8447898704647764E-2</v>
      </c>
      <c r="G35" s="38">
        <f>G23/'Balance Sheet Input'!G17</f>
        <v>-5.1131852382658542E-2</v>
      </c>
    </row>
    <row r="36" spans="2:7" x14ac:dyDescent="0.2">
      <c r="B36" s="28" t="s">
        <v>56</v>
      </c>
      <c r="C36" s="38">
        <f>C23/'Balance Sheet Input'!C31</f>
        <v>-0.32251483476105341</v>
      </c>
      <c r="D36" s="38">
        <f>D23/'Balance Sheet Input'!D31</f>
        <v>-0.82002373341798129</v>
      </c>
      <c r="E36" s="38">
        <f>E23/'Balance Sheet Input'!E31</f>
        <v>-0.1420001342335255</v>
      </c>
      <c r="F36" s="38">
        <f>F23/'Balance Sheet Input'!F31</f>
        <v>-0.46289544000555077</v>
      </c>
      <c r="G36" s="38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87</v>
      </c>
    </row>
    <row r="3" spans="2:7" ht="24" x14ac:dyDescent="0.25">
      <c r="B3" s="5" t="s">
        <v>37</v>
      </c>
      <c r="C3" s="21" t="s">
        <v>48</v>
      </c>
      <c r="D3" s="21" t="s">
        <v>49</v>
      </c>
      <c r="E3" s="21" t="s">
        <v>50</v>
      </c>
      <c r="F3" s="21" t="s">
        <v>86</v>
      </c>
      <c r="G3" s="24" t="s">
        <v>88</v>
      </c>
    </row>
    <row r="4" spans="2:7" x14ac:dyDescent="0.25">
      <c r="B4" s="8" t="s">
        <v>7</v>
      </c>
      <c r="C4" s="39">
        <v>1905713</v>
      </c>
      <c r="D4" s="39">
        <v>1196908</v>
      </c>
      <c r="E4" s="39">
        <v>3393216</v>
      </c>
      <c r="F4" s="39">
        <v>3367914</v>
      </c>
      <c r="G4" s="40">
        <v>2236424</v>
      </c>
    </row>
    <row r="5" spans="2:7" x14ac:dyDescent="0.25">
      <c r="B5" s="8" t="s">
        <v>39</v>
      </c>
      <c r="C5" s="39">
        <v>17947</v>
      </c>
      <c r="D5" s="39">
        <v>22628</v>
      </c>
      <c r="E5" s="39">
        <v>105519</v>
      </c>
      <c r="F5" s="39">
        <v>155323</v>
      </c>
      <c r="G5" s="40">
        <v>146822</v>
      </c>
    </row>
    <row r="6" spans="2:7" x14ac:dyDescent="0.25">
      <c r="B6" s="8" t="s">
        <v>8</v>
      </c>
      <c r="C6" s="39">
        <v>226604</v>
      </c>
      <c r="D6" s="39">
        <v>168965</v>
      </c>
      <c r="E6" s="39">
        <v>499142</v>
      </c>
      <c r="F6" s="39">
        <v>515381</v>
      </c>
      <c r="G6" s="40">
        <v>569874</v>
      </c>
    </row>
    <row r="7" spans="2:7" x14ac:dyDescent="0.25">
      <c r="B7" s="8" t="s">
        <v>9</v>
      </c>
      <c r="C7" s="39">
        <v>953675</v>
      </c>
      <c r="D7" s="39">
        <v>1277838</v>
      </c>
      <c r="E7" s="39">
        <v>2067454</v>
      </c>
      <c r="F7" s="39">
        <v>2263537</v>
      </c>
      <c r="G7" s="40">
        <v>3324643</v>
      </c>
    </row>
    <row r="8" spans="2:7" x14ac:dyDescent="0.25">
      <c r="B8" s="8" t="s">
        <v>10</v>
      </c>
      <c r="C8" s="39">
        <v>76134</v>
      </c>
      <c r="D8" s="39">
        <v>115667</v>
      </c>
      <c r="E8" s="39">
        <v>194465</v>
      </c>
      <c r="F8" s="39">
        <v>268365</v>
      </c>
      <c r="G8" s="40">
        <v>422034</v>
      </c>
    </row>
    <row r="9" spans="2:7" ht="12" x14ac:dyDescent="0.25">
      <c r="B9" s="9" t="s">
        <v>11</v>
      </c>
      <c r="C9" s="41">
        <f>SUM(C4:C8)</f>
        <v>3180073</v>
      </c>
      <c r="D9" s="41">
        <f>SUM(D4:D8)</f>
        <v>2782006</v>
      </c>
      <c r="E9" s="41">
        <f>SUM(E4:E8)</f>
        <v>6259796</v>
      </c>
      <c r="F9" s="41">
        <f>SUM(F4:F8)</f>
        <v>6570520</v>
      </c>
      <c r="G9" s="42">
        <f>SUM(G4:G8)</f>
        <v>6699797</v>
      </c>
    </row>
    <row r="10" spans="2:7" x14ac:dyDescent="0.25">
      <c r="B10" s="8" t="s">
        <v>12</v>
      </c>
      <c r="C10" s="39">
        <v>766744</v>
      </c>
      <c r="D10" s="39">
        <v>1791403</v>
      </c>
      <c r="E10" s="39">
        <v>3134080</v>
      </c>
      <c r="F10" s="39">
        <v>4116604</v>
      </c>
      <c r="G10" s="40">
        <v>2282047</v>
      </c>
    </row>
    <row r="11" spans="2:7" x14ac:dyDescent="0.25">
      <c r="B11" s="8" t="s">
        <v>13</v>
      </c>
      <c r="C11" s="39">
        <v>0</v>
      </c>
      <c r="D11" s="39">
        <v>0</v>
      </c>
      <c r="E11" s="39">
        <v>5919880</v>
      </c>
      <c r="F11" s="39">
        <v>6347490</v>
      </c>
      <c r="G11" s="40">
        <v>6340031</v>
      </c>
    </row>
    <row r="12" spans="2:7" x14ac:dyDescent="0.25">
      <c r="B12" s="8" t="s">
        <v>14</v>
      </c>
      <c r="C12" s="39">
        <v>1829267</v>
      </c>
      <c r="D12" s="39">
        <v>3403334</v>
      </c>
      <c r="E12" s="39">
        <v>5982957</v>
      </c>
      <c r="F12" s="39">
        <v>10027522</v>
      </c>
      <c r="G12" s="40">
        <v>10969348</v>
      </c>
    </row>
    <row r="13" spans="2:7" x14ac:dyDescent="0.25">
      <c r="B13" s="8" t="s">
        <v>15</v>
      </c>
      <c r="C13" s="39">
        <v>0</v>
      </c>
      <c r="D13" s="39">
        <v>12816</v>
      </c>
      <c r="E13" s="39">
        <v>376145</v>
      </c>
      <c r="F13" s="39">
        <v>361502</v>
      </c>
      <c r="G13" s="40">
        <v>364690</v>
      </c>
    </row>
    <row r="14" spans="2:7" x14ac:dyDescent="0.25">
      <c r="B14" s="8" t="s">
        <v>16</v>
      </c>
      <c r="C14" s="39">
        <v>0</v>
      </c>
      <c r="D14" s="39">
        <v>0</v>
      </c>
      <c r="E14" s="39">
        <v>506302</v>
      </c>
      <c r="F14" s="39">
        <f>456652+60237</f>
        <v>516889</v>
      </c>
      <c r="G14" s="40">
        <v>434841</v>
      </c>
    </row>
    <row r="15" spans="2:7" x14ac:dyDescent="0.25">
      <c r="B15" s="8" t="s">
        <v>17</v>
      </c>
      <c r="C15" s="39">
        <v>11374</v>
      </c>
      <c r="D15" s="39">
        <v>31522</v>
      </c>
      <c r="E15" s="39">
        <v>268165</v>
      </c>
      <c r="F15" s="39">
        <v>441722</v>
      </c>
      <c r="G15" s="40">
        <v>399992</v>
      </c>
    </row>
    <row r="16" spans="2:7" x14ac:dyDescent="0.25">
      <c r="B16" s="8" t="s">
        <v>18</v>
      </c>
      <c r="C16" s="39">
        <v>43209</v>
      </c>
      <c r="D16" s="39">
        <v>46858</v>
      </c>
      <c r="E16" s="39">
        <v>216751</v>
      </c>
      <c r="F16" s="39">
        <v>273123</v>
      </c>
      <c r="G16" s="40">
        <v>419254</v>
      </c>
    </row>
    <row r="17" spans="2:7" ht="12.6" thickBot="1" x14ac:dyDescent="0.3">
      <c r="B17" s="10" t="s">
        <v>19</v>
      </c>
      <c r="C17" s="43">
        <f t="shared" ref="C17:E17" si="0">SUM(C9:C16)</f>
        <v>5830667</v>
      </c>
      <c r="D17" s="43">
        <f t="shared" si="0"/>
        <v>8067939</v>
      </c>
      <c r="E17" s="43">
        <f t="shared" si="0"/>
        <v>22664076</v>
      </c>
      <c r="F17" s="43">
        <f>SUM(F9:F16)</f>
        <v>28655372</v>
      </c>
      <c r="G17" s="44">
        <f>SUM(G9:G16)</f>
        <v>27910000</v>
      </c>
    </row>
    <row r="18" spans="2:7" x14ac:dyDescent="0.25">
      <c r="B18" s="8" t="s">
        <v>20</v>
      </c>
      <c r="C18" s="39">
        <v>777946</v>
      </c>
      <c r="D18" s="39">
        <v>916148</v>
      </c>
      <c r="E18" s="39">
        <v>1860341</v>
      </c>
      <c r="F18" s="39">
        <v>2390250</v>
      </c>
      <c r="G18" s="40">
        <v>3030493</v>
      </c>
    </row>
    <row r="19" spans="2:7" x14ac:dyDescent="0.25">
      <c r="B19" s="8" t="s">
        <v>38</v>
      </c>
      <c r="C19" s="39">
        <v>268883</v>
      </c>
      <c r="D19" s="39">
        <v>422798</v>
      </c>
      <c r="E19" s="39">
        <v>1210028</v>
      </c>
      <c r="F19" s="39">
        <v>1731366</v>
      </c>
      <c r="G19" s="40">
        <v>1814979</v>
      </c>
    </row>
    <row r="20" spans="2:7" x14ac:dyDescent="0.25">
      <c r="B20" s="8" t="s">
        <v>21</v>
      </c>
      <c r="C20" s="39">
        <v>191651</v>
      </c>
      <c r="D20" s="39">
        <v>423961</v>
      </c>
      <c r="E20" s="39">
        <v>763126</v>
      </c>
      <c r="F20" s="39">
        <v>1015253</v>
      </c>
      <c r="G20" s="40">
        <v>576321</v>
      </c>
    </row>
    <row r="21" spans="2:7" x14ac:dyDescent="0.25">
      <c r="B21" s="8" t="s">
        <v>22</v>
      </c>
      <c r="C21" s="39">
        <v>0</v>
      </c>
      <c r="D21" s="39">
        <v>136831</v>
      </c>
      <c r="E21" s="39">
        <v>179504</v>
      </c>
      <c r="F21" s="39">
        <v>787333</v>
      </c>
      <c r="G21" s="40">
        <v>674255</v>
      </c>
    </row>
    <row r="22" spans="2:7" x14ac:dyDescent="0.25">
      <c r="B22" s="8" t="s">
        <v>23</v>
      </c>
      <c r="C22" s="39">
        <v>257587</v>
      </c>
      <c r="D22" s="39">
        <v>283370</v>
      </c>
      <c r="E22" s="39">
        <v>663859</v>
      </c>
      <c r="F22" s="39">
        <v>853919</v>
      </c>
      <c r="G22" s="40">
        <v>942129</v>
      </c>
    </row>
    <row r="23" spans="2:7" x14ac:dyDescent="0.25">
      <c r="B23" s="8" t="s">
        <v>24</v>
      </c>
      <c r="C23" s="39">
        <v>611099</v>
      </c>
      <c r="D23" s="39">
        <v>627927</v>
      </c>
      <c r="E23" s="39">
        <v>984211</v>
      </c>
      <c r="F23" s="39">
        <v>796549</v>
      </c>
      <c r="G23" s="40">
        <v>2103185</v>
      </c>
    </row>
    <row r="24" spans="2:7" x14ac:dyDescent="0.25">
      <c r="B24" s="8" t="s">
        <v>25</v>
      </c>
      <c r="C24" s="39">
        <v>0</v>
      </c>
      <c r="D24" s="39"/>
      <c r="E24" s="39"/>
      <c r="F24" s="32"/>
      <c r="G24" s="33"/>
    </row>
    <row r="25" spans="2:7" x14ac:dyDescent="0.25">
      <c r="B25" s="8" t="s">
        <v>26</v>
      </c>
      <c r="C25" s="39">
        <v>0</v>
      </c>
      <c r="D25" s="39">
        <v>0</v>
      </c>
      <c r="E25" s="39">
        <v>165936</v>
      </c>
      <c r="F25" s="39">
        <v>100000</v>
      </c>
      <c r="G25" s="40">
        <v>0</v>
      </c>
    </row>
    <row r="26" spans="2:7" ht="12" x14ac:dyDescent="0.25">
      <c r="B26" s="9" t="s">
        <v>27</v>
      </c>
      <c r="C26" s="41">
        <v>2107166</v>
      </c>
      <c r="D26" s="41">
        <v>2811035</v>
      </c>
      <c r="E26" s="41">
        <v>5827005</v>
      </c>
      <c r="F26" s="41">
        <f>SUM(F18:F25)</f>
        <v>7674670</v>
      </c>
      <c r="G26" s="42">
        <f>SUM(G18:G25)</f>
        <v>9141362</v>
      </c>
    </row>
    <row r="27" spans="2:7" x14ac:dyDescent="0.25">
      <c r="B27" s="8" t="s">
        <v>28</v>
      </c>
      <c r="C27" s="39"/>
      <c r="D27" s="39"/>
      <c r="E27" s="39"/>
      <c r="F27" s="39"/>
      <c r="G27" s="40"/>
    </row>
    <row r="28" spans="2:7" x14ac:dyDescent="0.25">
      <c r="B28" s="8" t="s">
        <v>16</v>
      </c>
      <c r="C28" s="39">
        <v>1818785</v>
      </c>
      <c r="D28" s="39">
        <v>2021093</v>
      </c>
      <c r="E28" s="39">
        <v>5860049</v>
      </c>
      <c r="F28" s="39">
        <v>9415700</v>
      </c>
      <c r="G28" s="40">
        <v>9513390</v>
      </c>
    </row>
    <row r="29" spans="2:7" x14ac:dyDescent="0.25">
      <c r="B29" s="8" t="s">
        <v>66</v>
      </c>
      <c r="C29" s="32">
        <v>993006</v>
      </c>
      <c r="D29" s="32">
        <v>2152107</v>
      </c>
      <c r="E29" s="32">
        <v>5438936</v>
      </c>
      <c r="F29" s="32">
        <v>6330414</v>
      </c>
      <c r="G29" s="33">
        <f>795820+584857+2607458</f>
        <v>3988135</v>
      </c>
    </row>
    <row r="30" spans="2:7" ht="12" x14ac:dyDescent="0.25">
      <c r="B30" s="23" t="s">
        <v>29</v>
      </c>
      <c r="C30" s="45">
        <f>SUM(C26:C29)</f>
        <v>4918957</v>
      </c>
      <c r="D30" s="45">
        <f>SUM(D26:D29)</f>
        <v>6984235</v>
      </c>
      <c r="E30" s="45">
        <f>SUM(E26:E29)</f>
        <v>17125990</v>
      </c>
      <c r="F30" s="45">
        <f>SUM(F26:F29)</f>
        <v>23420784</v>
      </c>
      <c r="G30" s="46">
        <f>SUM(G26:G29)</f>
        <v>22642887</v>
      </c>
    </row>
    <row r="31" spans="2:7" ht="12" x14ac:dyDescent="0.25">
      <c r="B31" s="23" t="s">
        <v>30</v>
      </c>
      <c r="C31" s="45">
        <v>911710</v>
      </c>
      <c r="D31" s="45">
        <v>1083704</v>
      </c>
      <c r="E31" s="45">
        <v>4752911</v>
      </c>
      <c r="F31" s="45">
        <v>4237242</v>
      </c>
      <c r="G31" s="46">
        <f>3906421+539536</f>
        <v>4445957</v>
      </c>
    </row>
    <row r="32" spans="2:7" x14ac:dyDescent="0.25">
      <c r="B32" s="8" t="s">
        <v>31</v>
      </c>
      <c r="C32" s="39">
        <v>0</v>
      </c>
      <c r="D32" s="39">
        <v>0</v>
      </c>
      <c r="E32" s="39">
        <v>785175</v>
      </c>
      <c r="F32" s="39">
        <v>997346</v>
      </c>
      <c r="G32" s="40">
        <v>821156</v>
      </c>
    </row>
    <row r="33" spans="2:7" ht="12.6" thickBot="1" x14ac:dyDescent="0.3">
      <c r="B33" s="10" t="s">
        <v>32</v>
      </c>
      <c r="C33" s="43">
        <f>C30+C31+C32</f>
        <v>5830667</v>
      </c>
      <c r="D33" s="43">
        <f>D30+D31+D32</f>
        <v>8067939</v>
      </c>
      <c r="E33" s="43">
        <f>E30+E31+E32</f>
        <v>22664076</v>
      </c>
      <c r="F33" s="43">
        <f>F30+F31+F32</f>
        <v>28655372</v>
      </c>
      <c r="G33" s="44">
        <f>G30+G31+G32</f>
        <v>27910000</v>
      </c>
    </row>
    <row r="34" spans="2:7" x14ac:dyDescent="0.25">
      <c r="F34" s="22"/>
    </row>
    <row r="35" spans="2:7" x14ac:dyDescent="0.2">
      <c r="B35" s="27" t="s">
        <v>90</v>
      </c>
      <c r="C35" s="26"/>
      <c r="D35" s="26"/>
      <c r="E35" s="26"/>
      <c r="F35" s="26"/>
      <c r="G35" s="26"/>
    </row>
    <row r="36" spans="2:7" x14ac:dyDescent="0.2">
      <c r="B36" s="27" t="s">
        <v>181</v>
      </c>
      <c r="C36" s="26"/>
      <c r="D36" s="26"/>
      <c r="E36" s="26"/>
      <c r="F36" s="26"/>
      <c r="G36" s="26"/>
    </row>
    <row r="37" spans="2:7" x14ac:dyDescent="0.2">
      <c r="B37" s="25" t="s">
        <v>183</v>
      </c>
      <c r="C37" s="26">
        <f>(C4+C5)/C26</f>
        <v>0.91291336325662054</v>
      </c>
      <c r="D37" s="26">
        <f t="shared" ref="D37:G37" si="1">(D4+D5)/D26</f>
        <v>0.43383878180100921</v>
      </c>
      <c r="E37" s="26">
        <f t="shared" si="1"/>
        <v>0.60043452854425217</v>
      </c>
      <c r="F37" s="26">
        <f t="shared" si="1"/>
        <v>0.45907341944344188</v>
      </c>
      <c r="G37" s="26">
        <f t="shared" si="1"/>
        <v>0.26071016550925341</v>
      </c>
    </row>
    <row r="38" spans="2:7" x14ac:dyDescent="0.2">
      <c r="B38" s="25" t="s">
        <v>184</v>
      </c>
      <c r="C38" s="26">
        <f>C9/C26</f>
        <v>1.5091706111431182</v>
      </c>
      <c r="D38" s="26">
        <f>D9/D26</f>
        <v>0.98967319866170289</v>
      </c>
      <c r="E38" s="26">
        <f>E9/E26</f>
        <v>1.0742733187975642</v>
      </c>
      <c r="F38" s="26">
        <f>F9/F26</f>
        <v>0.8561306219029613</v>
      </c>
      <c r="G38" s="26">
        <f>G9/G26</f>
        <v>0.7329101505880633</v>
      </c>
    </row>
    <row r="39" spans="2:7" x14ac:dyDescent="0.2">
      <c r="B39" s="25" t="s">
        <v>51</v>
      </c>
      <c r="C39" s="26">
        <f>C6/'P&amp;L Input'!C7*360</f>
        <v>25.506053735106413</v>
      </c>
      <c r="D39" s="26">
        <f>D6/'P&amp;L Input'!D7*360</f>
        <v>15.033866572747325</v>
      </c>
      <c r="E39" s="26">
        <f>E6/'P&amp;L Input'!E7*360</f>
        <v>25.66967594325364</v>
      </c>
      <c r="F39" s="26">
        <f>F6/'P&amp;L Input'!F7*360</f>
        <v>15.77864519794662</v>
      </c>
      <c r="G39" s="26">
        <f>G6/'P&amp;L Input'!G7*180</f>
        <v>13.841258823729435</v>
      </c>
    </row>
    <row r="40" spans="2:7" x14ac:dyDescent="0.2">
      <c r="B40" s="25" t="s">
        <v>52</v>
      </c>
      <c r="C40" s="26">
        <f>-C7/SUM('P&amp;L Input'!C8:C10)*360</f>
        <v>148.19580564470351</v>
      </c>
      <c r="D40" s="26">
        <f>-D7/SUM('P&amp;L Input'!D8:D10)*360</f>
        <v>147.32375944829212</v>
      </c>
      <c r="E40" s="26">
        <f>-E7/SUM('P&amp;L Input'!E8:E10)*360</f>
        <v>137.80793667692734</v>
      </c>
      <c r="F40" s="26">
        <f>-F7/SUM('P&amp;L Input'!F8:F10)*360</f>
        <v>85.449953986173199</v>
      </c>
      <c r="G40" s="26">
        <f>-G7/SUM('P&amp;L Input'!G8:G10)*180</f>
        <v>94.457151624032477</v>
      </c>
    </row>
    <row r="41" spans="2:7" x14ac:dyDescent="0.2">
      <c r="B41" s="25" t="s">
        <v>53</v>
      </c>
      <c r="C41" s="26">
        <f>-C18/SUM('P&amp;L Input'!C8:C10)*360</f>
        <v>120.88849368817945</v>
      </c>
      <c r="D41" s="26">
        <f>-D18/SUM('P&amp;L Input'!D8:D10)*360</f>
        <v>105.62400521117225</v>
      </c>
      <c r="E41" s="26">
        <f>-E18/SUM('P&amp;L Input'!E8:E10)*360</f>
        <v>124.00264031291226</v>
      </c>
      <c r="F41" s="26">
        <f>-F18/SUM('P&amp;L Input'!F8:F10)*360</f>
        <v>90.233449912879919</v>
      </c>
      <c r="G41" s="26">
        <f>-G18/SUM('P&amp;L Input'!G8:G10)*180</f>
        <v>86.099992328971581</v>
      </c>
    </row>
    <row r="42" spans="2:7" x14ac:dyDescent="0.2">
      <c r="B42" s="25" t="s">
        <v>54</v>
      </c>
      <c r="C42" s="26">
        <f>C39+C40-C41</f>
        <v>52.813365691630466</v>
      </c>
      <c r="D42" s="26">
        <f>D39+D40-D41</f>
        <v>56.73362080986719</v>
      </c>
      <c r="E42" s="26">
        <f>E39+E40-E41</f>
        <v>39.474972307268729</v>
      </c>
      <c r="F42" s="26">
        <f>F39+F40-F41</f>
        <v>10.995149271239896</v>
      </c>
      <c r="G42" s="26">
        <f>G39+G40-G41</f>
        <v>22.198418118790329</v>
      </c>
    </row>
    <row r="43" spans="2:7" x14ac:dyDescent="0.2">
      <c r="B43" s="27" t="s">
        <v>185</v>
      </c>
      <c r="C43" s="26"/>
      <c r="D43" s="26"/>
      <c r="E43" s="26"/>
      <c r="F43" s="26"/>
      <c r="G43" s="26"/>
    </row>
    <row r="44" spans="2:7" x14ac:dyDescent="0.2">
      <c r="B44" s="25" t="s">
        <v>182</v>
      </c>
      <c r="C44" s="26">
        <f>C17/C30</f>
        <v>1.1853462024571468</v>
      </c>
      <c r="D44" s="26">
        <f t="shared" ref="D44:G44" si="2">D17/D30</f>
        <v>1.1551643093338069</v>
      </c>
      <c r="E44" s="26">
        <f t="shared" si="2"/>
        <v>1.3233731889368148</v>
      </c>
      <c r="F44" s="26">
        <f t="shared" si="2"/>
        <v>1.2235018264119595</v>
      </c>
      <c r="G44" s="26">
        <f t="shared" si="2"/>
        <v>1.23261667118685</v>
      </c>
    </row>
    <row r="45" spans="2:7" x14ac:dyDescent="0.2">
      <c r="B45" s="25" t="s">
        <v>186</v>
      </c>
      <c r="C45" s="88" t="s">
        <v>187</v>
      </c>
      <c r="D45" s="88" t="s">
        <v>187</v>
      </c>
      <c r="E45" s="88" t="s">
        <v>187</v>
      </c>
      <c r="F45" s="88" t="s">
        <v>187</v>
      </c>
      <c r="G45" s="88" t="s">
        <v>187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161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99</v>
      </c>
    </row>
    <row r="2" spans="1:19" ht="15.6" x14ac:dyDescent="0.25">
      <c r="A2" s="1"/>
      <c r="B2" s="2"/>
    </row>
    <row r="3" spans="1:19" ht="12" x14ac:dyDescent="0.25">
      <c r="C3" s="89" t="s">
        <v>101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20" t="s">
        <v>91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94</v>
      </c>
      <c r="C5" s="32">
        <v>0</v>
      </c>
      <c r="D5" s="32">
        <v>0</v>
      </c>
      <c r="E5" s="32">
        <v>0</v>
      </c>
      <c r="F5" s="32">
        <v>1764</v>
      </c>
      <c r="G5" s="32">
        <v>26620</v>
      </c>
      <c r="H5" s="33">
        <f>26*4000</f>
        <v>104000</v>
      </c>
      <c r="I5" s="33">
        <f>G5+H5</f>
        <v>130620</v>
      </c>
      <c r="J5" s="33">
        <f>52*5000</f>
        <v>260000</v>
      </c>
      <c r="K5" s="33">
        <f>52*8000</f>
        <v>416000</v>
      </c>
      <c r="L5" s="33">
        <f>K5*(1+L15)</f>
        <v>457600.00000000006</v>
      </c>
      <c r="M5" s="33">
        <f>L5*(1+M15)</f>
        <v>503360.00000000012</v>
      </c>
      <c r="N5" s="33">
        <f>M5*(1+N15)</f>
        <v>528528.00000000012</v>
      </c>
      <c r="O5" s="33">
        <f t="shared" ref="O5:S5" si="0">N5*(1+O15)</f>
        <v>554954.40000000014</v>
      </c>
      <c r="P5" s="33">
        <f t="shared" si="0"/>
        <v>566053.48800000013</v>
      </c>
      <c r="Q5" s="33">
        <f t="shared" si="0"/>
        <v>577374.55776000011</v>
      </c>
      <c r="R5" s="33">
        <f t="shared" si="0"/>
        <v>588922.04891520017</v>
      </c>
      <c r="S5" s="33">
        <f t="shared" si="0"/>
        <v>600700.48989350419</v>
      </c>
    </row>
    <row r="6" spans="1:19" x14ac:dyDescent="0.25">
      <c r="B6" s="8" t="s">
        <v>100</v>
      </c>
      <c r="C6" s="32">
        <v>33600</v>
      </c>
      <c r="D6" s="32">
        <v>50580</v>
      </c>
      <c r="E6" s="32">
        <v>76230</v>
      </c>
      <c r="F6" s="32">
        <v>101312</v>
      </c>
      <c r="G6" s="32">
        <f>22660+21440</f>
        <v>44100</v>
      </c>
      <c r="H6" s="33">
        <v>55900</v>
      </c>
      <c r="I6" s="33">
        <f t="shared" ref="I6:I10" si="1">G6+H6</f>
        <v>100000</v>
      </c>
      <c r="J6" s="33">
        <f>I6*(1+J16)</f>
        <v>102000</v>
      </c>
      <c r="K6" s="33">
        <f>J6*(1+K16)</f>
        <v>104040</v>
      </c>
      <c r="L6" s="33">
        <f>K6*(1+L16)</f>
        <v>106120.8</v>
      </c>
      <c r="M6" s="33">
        <f t="shared" ref="M6:S6" si="2">L6*(1+M16)</f>
        <v>108243.216</v>
      </c>
      <c r="N6" s="33">
        <f t="shared" si="2"/>
        <v>110408.08032000001</v>
      </c>
      <c r="O6" s="33">
        <f t="shared" si="2"/>
        <v>112616.24192640001</v>
      </c>
      <c r="P6" s="33">
        <f t="shared" si="2"/>
        <v>114868.56676492801</v>
      </c>
      <c r="Q6" s="33">
        <f t="shared" si="2"/>
        <v>117165.93810022657</v>
      </c>
      <c r="R6" s="33">
        <f t="shared" si="2"/>
        <v>119509.25686223111</v>
      </c>
      <c r="S6" s="33">
        <f t="shared" si="2"/>
        <v>121899.44199947573</v>
      </c>
    </row>
    <row r="7" spans="1:19" x14ac:dyDescent="0.25">
      <c r="B7" s="8" t="s">
        <v>95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3">
        <v>0</v>
      </c>
      <c r="I7" s="33">
        <f t="shared" si="1"/>
        <v>0</v>
      </c>
      <c r="J7" s="33">
        <f>F5</f>
        <v>1764</v>
      </c>
      <c r="K7" s="33">
        <f>J7*(1+K17)</f>
        <v>130620</v>
      </c>
      <c r="L7" s="33">
        <f>K7*(1+L17)</f>
        <v>260000</v>
      </c>
      <c r="M7" s="33">
        <f t="shared" ref="M7:S7" si="3">L7*(1+M17)</f>
        <v>416000</v>
      </c>
      <c r="N7" s="33">
        <f t="shared" si="3"/>
        <v>457600.00000000006</v>
      </c>
      <c r="O7" s="33">
        <f t="shared" si="3"/>
        <v>503360.00000000012</v>
      </c>
      <c r="P7" s="33">
        <f t="shared" si="3"/>
        <v>528528.00000000012</v>
      </c>
      <c r="Q7" s="33">
        <f t="shared" si="3"/>
        <v>554954.40000000014</v>
      </c>
      <c r="R7" s="33">
        <f t="shared" si="3"/>
        <v>566053.48800000013</v>
      </c>
      <c r="S7" s="33">
        <f t="shared" si="3"/>
        <v>577374.55776000011</v>
      </c>
    </row>
    <row r="8" spans="1:19" x14ac:dyDescent="0.25">
      <c r="B8" s="8" t="s">
        <v>97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3">
        <v>0</v>
      </c>
      <c r="I8" s="33">
        <f t="shared" si="1"/>
        <v>0</v>
      </c>
      <c r="J8" s="33">
        <v>0</v>
      </c>
      <c r="K8" s="33">
        <v>500</v>
      </c>
      <c r="L8" s="33">
        <f t="shared" ref="L8:S8" si="4">K8*(1+L18)</f>
        <v>1000</v>
      </c>
      <c r="M8" s="33">
        <f t="shared" si="4"/>
        <v>1500</v>
      </c>
      <c r="N8" s="33">
        <f t="shared" si="4"/>
        <v>1650.0000000000002</v>
      </c>
      <c r="O8" s="33">
        <f t="shared" si="4"/>
        <v>1815.0000000000005</v>
      </c>
      <c r="P8" s="33">
        <f t="shared" si="4"/>
        <v>1905.7500000000005</v>
      </c>
      <c r="Q8" s="33">
        <f t="shared" si="4"/>
        <v>2001.0375000000006</v>
      </c>
      <c r="R8" s="33">
        <f t="shared" si="4"/>
        <v>2041.0582500000007</v>
      </c>
      <c r="S8" s="33">
        <f t="shared" si="4"/>
        <v>2081.8794150000008</v>
      </c>
    </row>
    <row r="9" spans="1:19" x14ac:dyDescent="0.25">
      <c r="B9" s="8" t="s">
        <v>96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3">
        <v>0</v>
      </c>
      <c r="I9" s="33">
        <f t="shared" si="1"/>
        <v>0</v>
      </c>
      <c r="J9" s="33">
        <v>250</v>
      </c>
      <c r="K9" s="33">
        <f>J9*(1+K19)</f>
        <v>18511.904761904763</v>
      </c>
      <c r="L9" s="33">
        <f t="shared" ref="L9:S9" si="5">K9*(1+L19)</f>
        <v>36848.072562358284</v>
      </c>
      <c r="M9" s="33">
        <f t="shared" si="5"/>
        <v>58956.916099773254</v>
      </c>
      <c r="N9" s="33">
        <f t="shared" si="5"/>
        <v>64852.607709750584</v>
      </c>
      <c r="O9" s="33">
        <f t="shared" si="5"/>
        <v>71337.86848072565</v>
      </c>
      <c r="P9" s="33">
        <f t="shared" si="5"/>
        <v>74904.761904761937</v>
      </c>
      <c r="Q9" s="33">
        <f t="shared" si="5"/>
        <v>78650.000000000044</v>
      </c>
      <c r="R9" s="33">
        <f t="shared" si="5"/>
        <v>80223.000000000044</v>
      </c>
      <c r="S9" s="33">
        <f t="shared" si="5"/>
        <v>81827.46000000005</v>
      </c>
    </row>
    <row r="10" spans="1:19" x14ac:dyDescent="0.25">
      <c r="B10" s="8" t="s">
        <v>93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3">
        <v>0</v>
      </c>
      <c r="I10" s="33">
        <f t="shared" si="1"/>
        <v>0</v>
      </c>
      <c r="J10" s="33">
        <v>250</v>
      </c>
      <c r="K10" s="33">
        <f>J10*(1+K20)</f>
        <v>18511.904761904763</v>
      </c>
      <c r="L10" s="33">
        <f t="shared" ref="L10:S10" si="6">K10*(1+L20)</f>
        <v>36848.072562358284</v>
      </c>
      <c r="M10" s="33">
        <f t="shared" si="6"/>
        <v>58956.916099773254</v>
      </c>
      <c r="N10" s="33">
        <f t="shared" si="6"/>
        <v>64852.607709750584</v>
      </c>
      <c r="O10" s="33">
        <f t="shared" si="6"/>
        <v>71337.86848072565</v>
      </c>
      <c r="P10" s="33">
        <f t="shared" si="6"/>
        <v>74904.761904761937</v>
      </c>
      <c r="Q10" s="33">
        <f t="shared" si="6"/>
        <v>78650.000000000044</v>
      </c>
      <c r="R10" s="33">
        <f t="shared" si="6"/>
        <v>80223.000000000044</v>
      </c>
      <c r="S10" s="33">
        <f t="shared" si="6"/>
        <v>81827.46000000005</v>
      </c>
    </row>
    <row r="11" spans="1:19" ht="12.6" thickBot="1" x14ac:dyDescent="0.3">
      <c r="B11" s="75" t="s">
        <v>68</v>
      </c>
      <c r="C11" s="76">
        <f>SUM(C5:C10)</f>
        <v>33600</v>
      </c>
      <c r="D11" s="76">
        <f t="shared" ref="D11:S11" si="7">SUM(D5:D10)</f>
        <v>50580</v>
      </c>
      <c r="E11" s="76">
        <f t="shared" si="7"/>
        <v>76230</v>
      </c>
      <c r="F11" s="76">
        <f t="shared" si="7"/>
        <v>103076</v>
      </c>
      <c r="G11" s="76">
        <f t="shared" si="7"/>
        <v>70720</v>
      </c>
      <c r="H11" s="76">
        <f t="shared" si="7"/>
        <v>159900</v>
      </c>
      <c r="I11" s="76">
        <f t="shared" si="7"/>
        <v>230620</v>
      </c>
      <c r="J11" s="76">
        <f t="shared" si="7"/>
        <v>364264</v>
      </c>
      <c r="K11" s="76">
        <f t="shared" si="7"/>
        <v>688183.80952380947</v>
      </c>
      <c r="L11" s="76">
        <f t="shared" si="7"/>
        <v>898416.94512471673</v>
      </c>
      <c r="M11" s="76">
        <f t="shared" si="7"/>
        <v>1147017.0481995465</v>
      </c>
      <c r="N11" s="76">
        <f t="shared" si="7"/>
        <v>1227891.2957395012</v>
      </c>
      <c r="O11" s="76">
        <f t="shared" si="7"/>
        <v>1315421.3788878517</v>
      </c>
      <c r="P11" s="76">
        <f t="shared" si="7"/>
        <v>1361165.3285744521</v>
      </c>
      <c r="Q11" s="76">
        <f t="shared" si="7"/>
        <v>1408795.9333602269</v>
      </c>
      <c r="R11" s="76">
        <f t="shared" si="7"/>
        <v>1436971.8520274314</v>
      </c>
      <c r="S11" s="76">
        <f t="shared" si="7"/>
        <v>1465711.2890679801</v>
      </c>
    </row>
    <row r="12" spans="1:19" ht="3" customHeight="1" x14ac:dyDescent="0.25"/>
    <row r="13" spans="1:19" x14ac:dyDescent="0.25">
      <c r="B13" s="50" t="s">
        <v>109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</row>
    <row r="14" spans="1:19" ht="3" customHeight="1" x14ac:dyDescent="0.25">
      <c r="B14" s="50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51" t="s">
        <v>94</v>
      </c>
      <c r="C15" s="54" t="s">
        <v>65</v>
      </c>
      <c r="D15" s="54" t="s">
        <v>65</v>
      </c>
      <c r="E15" s="54" t="s">
        <v>65</v>
      </c>
      <c r="F15" s="54" t="s">
        <v>65</v>
      </c>
      <c r="G15" s="51"/>
      <c r="H15" s="51"/>
      <c r="I15" s="53">
        <f>(I5/F5-1)</f>
        <v>73.047619047619051</v>
      </c>
      <c r="J15" s="53">
        <f>J5/I5-1</f>
        <v>0.99050681365793913</v>
      </c>
      <c r="K15" s="53">
        <f>K5/J5-1</f>
        <v>0.60000000000000009</v>
      </c>
      <c r="L15" s="53">
        <f>$C$25</f>
        <v>0.1</v>
      </c>
      <c r="M15" s="53">
        <f>$C$25</f>
        <v>0.1</v>
      </c>
      <c r="N15" s="53">
        <f>$C$26</f>
        <v>0.05</v>
      </c>
      <c r="O15" s="53">
        <f>$C$26</f>
        <v>0.05</v>
      </c>
      <c r="P15" s="53">
        <f>$C$27</f>
        <v>0.02</v>
      </c>
      <c r="Q15" s="53">
        <f t="shared" ref="Q15:S16" si="8">$C$27</f>
        <v>0.02</v>
      </c>
      <c r="R15" s="53">
        <f t="shared" si="8"/>
        <v>0.02</v>
      </c>
      <c r="S15" s="53">
        <f t="shared" si="8"/>
        <v>0.02</v>
      </c>
    </row>
    <row r="16" spans="1:19" x14ac:dyDescent="0.25">
      <c r="B16" s="51" t="s">
        <v>100</v>
      </c>
      <c r="C16" s="54" t="s">
        <v>65</v>
      </c>
      <c r="D16" s="38">
        <f>D6/C6-1</f>
        <v>0.50535714285714284</v>
      </c>
      <c r="E16" s="38">
        <f>E6/D6-1</f>
        <v>0.50711743772241991</v>
      </c>
      <c r="F16" s="38">
        <f>F6/E6-1</f>
        <v>0.32903056539420183</v>
      </c>
      <c r="G16" s="51"/>
      <c r="H16" s="51"/>
      <c r="I16" s="53">
        <f>(I6/F6-1)</f>
        <v>-1.2950094756790875E-2</v>
      </c>
      <c r="J16" s="56">
        <f>$C$27</f>
        <v>0.02</v>
      </c>
      <c r="K16" s="56">
        <f t="shared" ref="K16:P16" si="9">$C$27</f>
        <v>0.02</v>
      </c>
      <c r="L16" s="56">
        <f t="shared" si="9"/>
        <v>0.02</v>
      </c>
      <c r="M16" s="56">
        <f t="shared" si="9"/>
        <v>0.02</v>
      </c>
      <c r="N16" s="56">
        <f t="shared" si="9"/>
        <v>0.02</v>
      </c>
      <c r="O16" s="56">
        <f t="shared" si="9"/>
        <v>0.02</v>
      </c>
      <c r="P16" s="56">
        <f t="shared" si="9"/>
        <v>0.02</v>
      </c>
      <c r="Q16" s="56">
        <f t="shared" si="8"/>
        <v>0.02</v>
      </c>
      <c r="R16" s="56">
        <f t="shared" si="8"/>
        <v>0.02</v>
      </c>
      <c r="S16" s="56">
        <f t="shared" si="8"/>
        <v>0.02</v>
      </c>
    </row>
    <row r="17" spans="2:19" x14ac:dyDescent="0.25">
      <c r="B17" s="51" t="s">
        <v>95</v>
      </c>
      <c r="C17" s="54" t="s">
        <v>65</v>
      </c>
      <c r="D17" s="54" t="s">
        <v>65</v>
      </c>
      <c r="E17" s="54" t="s">
        <v>65</v>
      </c>
      <c r="F17" s="54" t="s">
        <v>65</v>
      </c>
      <c r="G17" s="51"/>
      <c r="H17" s="51"/>
      <c r="I17" s="53" t="s">
        <v>65</v>
      </c>
      <c r="J17" s="53" t="s">
        <v>65</v>
      </c>
      <c r="K17" s="56">
        <f>I15</f>
        <v>73.047619047619051</v>
      </c>
      <c r="L17" s="56">
        <f t="shared" ref="L17:M17" si="10">J15</f>
        <v>0.99050681365793913</v>
      </c>
      <c r="M17" s="56">
        <f t="shared" si="10"/>
        <v>0.60000000000000009</v>
      </c>
      <c r="N17" s="56">
        <f>$C$25</f>
        <v>0.1</v>
      </c>
      <c r="O17" s="56">
        <f>$C$25</f>
        <v>0.1</v>
      </c>
      <c r="P17" s="56">
        <f t="shared" ref="P17:Q20" si="11">$C$26</f>
        <v>0.05</v>
      </c>
      <c r="Q17" s="56">
        <f t="shared" si="11"/>
        <v>0.05</v>
      </c>
      <c r="R17" s="56">
        <f t="shared" ref="R17:S20" si="12">$C$27</f>
        <v>0.02</v>
      </c>
      <c r="S17" s="56">
        <f t="shared" si="12"/>
        <v>0.02</v>
      </c>
    </row>
    <row r="18" spans="2:19" x14ac:dyDescent="0.25">
      <c r="B18" s="51" t="s">
        <v>97</v>
      </c>
      <c r="C18" s="54" t="s">
        <v>65</v>
      </c>
      <c r="D18" s="54" t="s">
        <v>65</v>
      </c>
      <c r="E18" s="54" t="s">
        <v>65</v>
      </c>
      <c r="F18" s="54" t="s">
        <v>65</v>
      </c>
      <c r="G18" s="51"/>
      <c r="H18" s="51"/>
      <c r="I18" s="53" t="s">
        <v>65</v>
      </c>
      <c r="J18" s="53" t="s">
        <v>65</v>
      </c>
      <c r="K18" s="53" t="s">
        <v>65</v>
      </c>
      <c r="L18" s="56">
        <v>1</v>
      </c>
      <c r="M18" s="56">
        <v>0.5</v>
      </c>
      <c r="N18" s="56">
        <f>$C$25</f>
        <v>0.1</v>
      </c>
      <c r="O18" s="56">
        <f>$C$25</f>
        <v>0.1</v>
      </c>
      <c r="P18" s="56">
        <f t="shared" si="11"/>
        <v>0.05</v>
      </c>
      <c r="Q18" s="56">
        <f t="shared" si="11"/>
        <v>0.05</v>
      </c>
      <c r="R18" s="56">
        <f t="shared" si="12"/>
        <v>0.02</v>
      </c>
      <c r="S18" s="56">
        <f t="shared" si="12"/>
        <v>0.02</v>
      </c>
    </row>
    <row r="19" spans="2:19" x14ac:dyDescent="0.25">
      <c r="B19" s="51" t="s">
        <v>96</v>
      </c>
      <c r="C19" s="54" t="s">
        <v>65</v>
      </c>
      <c r="D19" s="54" t="s">
        <v>65</v>
      </c>
      <c r="E19" s="54" t="s">
        <v>65</v>
      </c>
      <c r="F19" s="54" t="s">
        <v>65</v>
      </c>
      <c r="G19" s="51"/>
      <c r="H19" s="51"/>
      <c r="I19" s="53" t="s">
        <v>65</v>
      </c>
      <c r="J19" s="53" t="s">
        <v>65</v>
      </c>
      <c r="K19" s="56">
        <f>I15</f>
        <v>73.047619047619051</v>
      </c>
      <c r="L19" s="56">
        <f t="shared" ref="L19:N19" si="13">J15</f>
        <v>0.99050681365793913</v>
      </c>
      <c r="M19" s="56">
        <f t="shared" si="13"/>
        <v>0.60000000000000009</v>
      </c>
      <c r="N19" s="56">
        <f t="shared" si="13"/>
        <v>0.1</v>
      </c>
      <c r="O19" s="56">
        <f>$C$25</f>
        <v>0.1</v>
      </c>
      <c r="P19" s="56">
        <f t="shared" si="11"/>
        <v>0.05</v>
      </c>
      <c r="Q19" s="56">
        <f t="shared" si="11"/>
        <v>0.05</v>
      </c>
      <c r="R19" s="56">
        <f t="shared" si="12"/>
        <v>0.02</v>
      </c>
      <c r="S19" s="56">
        <f t="shared" si="12"/>
        <v>0.02</v>
      </c>
    </row>
    <row r="20" spans="2:19" x14ac:dyDescent="0.25">
      <c r="B20" s="51" t="s">
        <v>93</v>
      </c>
      <c r="C20" s="54" t="s">
        <v>65</v>
      </c>
      <c r="D20" s="54" t="s">
        <v>65</v>
      </c>
      <c r="E20" s="54" t="s">
        <v>65</v>
      </c>
      <c r="F20" s="54" t="s">
        <v>65</v>
      </c>
      <c r="G20" s="51"/>
      <c r="H20" s="51"/>
      <c r="I20" s="53" t="s">
        <v>65</v>
      </c>
      <c r="J20" s="53" t="s">
        <v>65</v>
      </c>
      <c r="K20" s="56">
        <v>73.047619047619051</v>
      </c>
      <c r="L20" s="56">
        <v>0.99050681365793913</v>
      </c>
      <c r="M20" s="56">
        <v>0.60000000000000009</v>
      </c>
      <c r="N20" s="56">
        <f>$C$25</f>
        <v>0.1</v>
      </c>
      <c r="O20" s="56">
        <f>$C$25</f>
        <v>0.1</v>
      </c>
      <c r="P20" s="56">
        <f t="shared" si="11"/>
        <v>0.05</v>
      </c>
      <c r="Q20" s="56">
        <f t="shared" si="11"/>
        <v>0.05</v>
      </c>
      <c r="R20" s="56">
        <f t="shared" si="12"/>
        <v>0.02</v>
      </c>
      <c r="S20" s="56">
        <f t="shared" si="12"/>
        <v>0.02</v>
      </c>
    </row>
    <row r="21" spans="2:19" x14ac:dyDescent="0.25">
      <c r="B21" s="51"/>
      <c r="C21" s="54"/>
      <c r="D21" s="54"/>
      <c r="E21" s="54"/>
      <c r="F21" s="54"/>
      <c r="G21" s="51"/>
      <c r="H21" s="51"/>
      <c r="I21" s="54"/>
      <c r="J21" s="54"/>
      <c r="K21" s="52"/>
      <c r="L21" s="52"/>
      <c r="M21" s="52"/>
      <c r="N21" s="52"/>
      <c r="O21" s="52"/>
      <c r="P21" s="52"/>
      <c r="Q21" s="52"/>
      <c r="R21" s="52"/>
      <c r="S21" s="52"/>
    </row>
    <row r="24" spans="2:19" x14ac:dyDescent="0.25">
      <c r="B24" s="8" t="s">
        <v>163</v>
      </c>
    </row>
    <row r="25" spans="2:19" x14ac:dyDescent="0.25">
      <c r="B25" s="8" t="s">
        <v>164</v>
      </c>
      <c r="C25" s="18">
        <v>0.1</v>
      </c>
    </row>
    <row r="26" spans="2:19" x14ac:dyDescent="0.25">
      <c r="B26" s="8" t="s">
        <v>164</v>
      </c>
      <c r="C26" s="18">
        <v>0.05</v>
      </c>
    </row>
    <row r="27" spans="2:19" x14ac:dyDescent="0.25">
      <c r="B27" s="8" t="s">
        <v>165</v>
      </c>
      <c r="C27" s="18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2018-10-20T10:53:32Z</dcterms:modified>
</cp:coreProperties>
</file>