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5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6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4FA2AF34-3CA6-48B5-88D4-A764BEB1765D}" xr6:coauthVersionLast="38" xr6:coauthVersionMax="38" xr10:uidLastSave="{00000000-0000-0000-0000-000000000000}"/>
  <bookViews>
    <workbookView xWindow="0" yWindow="0" windowWidth="20496" windowHeight="8112" firstSheet="25" activeTab="2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orking capital" sheetId="169" r:id="rId29"/>
    <sheet name="WC comparables" sheetId="204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  <sheet name="Bridge charts --&gt;" sheetId="208" r:id="rId40"/>
    <sheet name="Revenue bridge" sheetId="209" r:id="rId41"/>
    <sheet name="Cash flow bridge" sheetId="210" r:id="rId42"/>
    <sheet name="Expenses bridge" sheetId="221" r:id="rId43"/>
    <sheet name="Net Income bridge" sheetId="222" r:id="rId44"/>
    <sheet name="Other charts --&gt;" sheetId="213" r:id="rId45"/>
    <sheet name="Revenue by type of car" sheetId="217" r:id="rId46"/>
    <sheet name="Types of vehicles" sheetId="214" r:id="rId47"/>
    <sheet name="Profitability" sheetId="216" r:id="rId48"/>
    <sheet name="Price - Volume - Mix --&gt;" sheetId="218" r:id="rId49"/>
    <sheet name="Price-Volume-Mix" sheetId="219" r:id="rId50"/>
  </sheets>
  <definedNames>
    <definedName name="_xlchart.v1.0" hidden="1">'Revenue bridge'!$B$8:$B$15</definedName>
    <definedName name="_xlchart.v1.1" hidden="1">'Revenue bridge'!$C$8:$C$15</definedName>
    <definedName name="_xlchart.v1.10" hidden="1">'Net Income bridge'!$B$3:$B$16</definedName>
    <definedName name="_xlchart.v1.11" hidden="1">'Net Income bridge'!$C$3:$C$16</definedName>
    <definedName name="_xlchart.v1.12" hidden="1">'Price-Volume-Mix'!$B$11:$B$15</definedName>
    <definedName name="_xlchart.v1.13" hidden="1">'Price-Volume-Mix'!$C$11:$C$15</definedName>
    <definedName name="_xlchart.v1.14" hidden="1">'Price-Volume-Mix'!$B$21:$B$25</definedName>
    <definedName name="_xlchart.v1.15" hidden="1">'Price-Volume-Mix'!$C$21:$C$25</definedName>
    <definedName name="_xlchart.v1.2" hidden="1">'Revenue bridge'!$B$27:$B$34</definedName>
    <definedName name="_xlchart.v1.3" hidden="1">'Revenue bridge'!$C$27:$C$34</definedName>
    <definedName name="_xlchart.v1.4" hidden="1">'Cash flow bridge'!$B$8:$B$14</definedName>
    <definedName name="_xlchart.v1.5" hidden="1">'Cash flow bridge'!$C$8:$C$14</definedName>
    <definedName name="_xlchart.v1.6" hidden="1">'Cash flow bridge'!$B$26:$B$32</definedName>
    <definedName name="_xlchart.v1.7" hidden="1">'Cash flow bridge'!$C$26:$C$32</definedName>
    <definedName name="_xlchart.v1.8" hidden="1">'Expenses bridge'!$B$8:$B$14</definedName>
    <definedName name="_xlchart.v1.9" hidden="1">'Expenses bridge'!$C$8:$C$14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4" i="169" l="1"/>
  <c r="R14" i="169"/>
  <c r="Q14" i="169"/>
  <c r="P14" i="169"/>
  <c r="O14" i="169"/>
  <c r="N14" i="169"/>
  <c r="M14" i="169"/>
  <c r="L14" i="169"/>
  <c r="K14" i="169"/>
  <c r="J14" i="169"/>
  <c r="I14" i="169"/>
  <c r="H14" i="169"/>
  <c r="S13" i="169"/>
  <c r="R13" i="169"/>
  <c r="Q13" i="169"/>
  <c r="P13" i="169"/>
  <c r="O13" i="169"/>
  <c r="N13" i="169"/>
  <c r="M13" i="169"/>
  <c r="L13" i="169"/>
  <c r="K13" i="169"/>
  <c r="J13" i="169"/>
  <c r="I13" i="169"/>
  <c r="H13" i="169"/>
  <c r="S12" i="169"/>
  <c r="R12" i="169"/>
  <c r="Q12" i="169"/>
  <c r="P12" i="169"/>
  <c r="O12" i="169"/>
  <c r="N12" i="169"/>
  <c r="M12" i="169"/>
  <c r="L12" i="169"/>
  <c r="K12" i="169"/>
  <c r="J12" i="169"/>
  <c r="I12" i="169"/>
  <c r="H12" i="169"/>
  <c r="S11" i="169"/>
  <c r="R11" i="169"/>
  <c r="Q11" i="169"/>
  <c r="P11" i="169"/>
  <c r="O11" i="169"/>
  <c r="N11" i="169"/>
  <c r="M11" i="169"/>
  <c r="L11" i="169"/>
  <c r="K11" i="169"/>
  <c r="J11" i="169"/>
  <c r="I11" i="169"/>
  <c r="H11" i="169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C3" i="179" l="1"/>
  <c r="G11" i="217" l="1"/>
  <c r="F11" i="217"/>
  <c r="G6" i="217"/>
  <c r="F6" i="217"/>
  <c r="G5" i="217"/>
  <c r="F5" i="217"/>
  <c r="E5" i="217"/>
  <c r="D5" i="217"/>
  <c r="C5" i="217"/>
  <c r="G6" i="214"/>
  <c r="F6" i="214"/>
  <c r="G5" i="214"/>
  <c r="F5" i="214"/>
  <c r="E5" i="214"/>
  <c r="D5" i="214"/>
  <c r="F11" i="214"/>
  <c r="G11" i="214"/>
  <c r="C5" i="214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O8" i="214" s="1"/>
  <c r="R8" i="180"/>
  <c r="S8" i="180" s="1"/>
  <c r="S8" i="182" s="1"/>
  <c r="Q8" i="182"/>
  <c r="Q8" i="217" s="1"/>
  <c r="P8" i="214"/>
  <c r="P8" i="217"/>
  <c r="C10" i="175"/>
  <c r="Q8" i="214" l="1"/>
  <c r="O8" i="217"/>
  <c r="S8" i="214"/>
  <c r="S8" i="217"/>
  <c r="R8" i="182"/>
  <c r="P22" i="175"/>
  <c r="Q22" i="175"/>
  <c r="S22" i="175"/>
  <c r="O22" i="175"/>
  <c r="R22" i="175"/>
  <c r="R8" i="217" l="1"/>
  <c r="R8" i="214"/>
  <c r="G28" i="177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D6" i="217"/>
  <c r="D6" i="214"/>
  <c r="L10" i="204"/>
  <c r="M10" i="204" s="1"/>
  <c r="D7" i="204"/>
  <c r="E6" i="217"/>
  <c r="E6" i="214"/>
  <c r="L11" i="204"/>
  <c r="M11" i="204" s="1"/>
  <c r="C6" i="214"/>
  <c r="C6" i="217"/>
  <c r="F26" i="178"/>
  <c r="C9" i="222"/>
  <c r="L13" i="204"/>
  <c r="M13" i="204" s="1"/>
  <c r="C11" i="219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F5" i="216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C13" i="209" s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H9" i="217"/>
  <c r="H9" i="214"/>
  <c r="H15" i="214" s="1"/>
  <c r="M24" i="186"/>
  <c r="M40" i="186"/>
  <c r="M16" i="186"/>
  <c r="M18" i="186"/>
  <c r="M26" i="186"/>
  <c r="M42" i="186"/>
  <c r="O19" i="186"/>
  <c r="O27" i="186"/>
  <c r="O43" i="186"/>
  <c r="C10" i="214"/>
  <c r="C10" i="217"/>
  <c r="R16" i="186"/>
  <c r="R40" i="186"/>
  <c r="R24" i="186"/>
  <c r="L22" i="186"/>
  <c r="L38" i="186"/>
  <c r="L14" i="186"/>
  <c r="H8" i="217"/>
  <c r="H8" i="214"/>
  <c r="D10" i="217"/>
  <c r="D10" i="214"/>
  <c r="D11" i="214" s="1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G7" i="217"/>
  <c r="G7" i="214"/>
  <c r="E10" i="217"/>
  <c r="E10" i="214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C7" i="217"/>
  <c r="C7" i="214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D7" i="217"/>
  <c r="D7" i="214"/>
  <c r="Q18" i="186"/>
  <c r="Q42" i="186"/>
  <c r="Q26" i="186"/>
  <c r="G8" i="214"/>
  <c r="G8" i="217"/>
  <c r="N16" i="186"/>
  <c r="N24" i="186"/>
  <c r="N40" i="186"/>
  <c r="N42" i="186"/>
  <c r="N26" i="186"/>
  <c r="N18" i="186"/>
  <c r="S19" i="186"/>
  <c r="S27" i="186"/>
  <c r="S43" i="186"/>
  <c r="L5" i="182"/>
  <c r="L5" i="214" s="1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C9" i="214"/>
  <c r="C9" i="217"/>
  <c r="C7" i="219"/>
  <c r="C3" i="219"/>
  <c r="H7" i="217"/>
  <c r="H7" i="214"/>
  <c r="D9" i="217"/>
  <c r="D9" i="214"/>
  <c r="F10" i="217"/>
  <c r="F10" i="214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G9" i="217"/>
  <c r="G9" i="214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E9" i="217"/>
  <c r="E9" i="214"/>
  <c r="G10" i="217"/>
  <c r="G10" i="214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E8" i="217"/>
  <c r="E8" i="214"/>
  <c r="L24" i="186"/>
  <c r="L40" i="186"/>
  <c r="L16" i="186"/>
  <c r="L26" i="186"/>
  <c r="L42" i="186"/>
  <c r="L18" i="186"/>
  <c r="F8" i="217"/>
  <c r="F8" i="214"/>
  <c r="G25" i="186"/>
  <c r="G41" i="186"/>
  <c r="G17" i="186"/>
  <c r="G8" i="186" s="1"/>
  <c r="M15" i="186"/>
  <c r="M39" i="186"/>
  <c r="M23" i="186"/>
  <c r="K14" i="186"/>
  <c r="K38" i="186"/>
  <c r="K22" i="186"/>
  <c r="E7" i="214"/>
  <c r="E7" i="217"/>
  <c r="E11" i="217" s="1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F7" i="217"/>
  <c r="F7" i="214"/>
  <c r="H26" i="186"/>
  <c r="H42" i="186"/>
  <c r="H18" i="186"/>
  <c r="H9" i="186" s="1"/>
  <c r="H9" i="193" s="1"/>
  <c r="C8" i="217"/>
  <c r="C8" i="214"/>
  <c r="I6" i="182"/>
  <c r="H6" i="182"/>
  <c r="D8" i="217"/>
  <c r="D8" i="214"/>
  <c r="F9" i="217"/>
  <c r="F9" i="214"/>
  <c r="H10" i="217"/>
  <c r="H10" i="214"/>
  <c r="H16" i="214" s="1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J8" i="214"/>
  <c r="J8" i="217"/>
  <c r="K8" i="214"/>
  <c r="K8" i="217"/>
  <c r="I6" i="217"/>
  <c r="I6" i="214"/>
  <c r="J10" i="214"/>
  <c r="J16" i="214" s="1"/>
  <c r="J10" i="217"/>
  <c r="J5" i="217"/>
  <c r="J5" i="214"/>
  <c r="J9" i="214"/>
  <c r="J15" i="214" s="1"/>
  <c r="J9" i="217"/>
  <c r="I9" i="214"/>
  <c r="I15" i="214" s="1"/>
  <c r="I9" i="217"/>
  <c r="I10" i="182"/>
  <c r="C31" i="209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L5" i="217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H5" i="217"/>
  <c r="H5" i="214"/>
  <c r="L18" i="192"/>
  <c r="L22" i="192" s="1"/>
  <c r="C11" i="214"/>
  <c r="K18" i="192"/>
  <c r="K22" i="192" s="1"/>
  <c r="D11" i="217"/>
  <c r="Q5" i="180"/>
  <c r="P5" i="182"/>
  <c r="P5" i="186" s="1"/>
  <c r="C11" i="217"/>
  <c r="O5" i="217"/>
  <c r="O5" i="214"/>
  <c r="O5" i="193"/>
  <c r="O18" i="192"/>
  <c r="J9" i="191"/>
  <c r="K7" i="191"/>
  <c r="E11" i="214"/>
  <c r="H6" i="186"/>
  <c r="H6" i="193" s="1"/>
  <c r="H6" i="217"/>
  <c r="H6" i="214"/>
  <c r="S18" i="192"/>
  <c r="R18" i="192"/>
  <c r="P18" i="192"/>
  <c r="J18" i="192"/>
  <c r="I18" i="192"/>
  <c r="I22" i="192" s="1"/>
  <c r="Q18" i="192"/>
  <c r="N5" i="186"/>
  <c r="N5" i="193" s="1"/>
  <c r="N5" i="214"/>
  <c r="N5" i="217"/>
  <c r="I7" i="217"/>
  <c r="I7" i="214"/>
  <c r="J7" i="214"/>
  <c r="J7" i="217"/>
  <c r="M5" i="186"/>
  <c r="M5" i="193" s="1"/>
  <c r="M5" i="214"/>
  <c r="M5" i="217"/>
  <c r="C12" i="209"/>
  <c r="I8" i="214"/>
  <c r="I8" i="217"/>
  <c r="K5" i="217"/>
  <c r="K5" i="214"/>
  <c r="C14" i="209"/>
  <c r="I10" i="214"/>
  <c r="I16" i="214" s="1"/>
  <c r="I10" i="217"/>
  <c r="J7" i="186"/>
  <c r="J7" i="193" s="1"/>
  <c r="C11" i="209"/>
  <c r="K5" i="186"/>
  <c r="K5" i="193" s="1"/>
  <c r="C28" i="209"/>
  <c r="D5" i="167"/>
  <c r="D6" i="167" s="1"/>
  <c r="D5" i="176"/>
  <c r="D5" i="216" s="1"/>
  <c r="E5" i="167"/>
  <c r="E6" i="167" s="1"/>
  <c r="E5" i="176"/>
  <c r="E5" i="216" s="1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H11" i="217"/>
  <c r="C5" i="167"/>
  <c r="C6" i="167" s="1"/>
  <c r="C4" i="212"/>
  <c r="C6" i="212" s="1"/>
  <c r="K12" i="192"/>
  <c r="K9" i="192" s="1"/>
  <c r="K9" i="206" s="1"/>
  <c r="R5" i="180"/>
  <c r="Q5" i="182"/>
  <c r="K15" i="192"/>
  <c r="H11" i="214"/>
  <c r="H14" i="214"/>
  <c r="H17" i="214" s="1"/>
  <c r="P5" i="214"/>
  <c r="P5" i="217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H5" i="216" s="1"/>
  <c r="G5" i="176"/>
  <c r="G5" i="216" s="1"/>
  <c r="C5" i="176"/>
  <c r="C5" i="216" s="1"/>
  <c r="H11" i="186"/>
  <c r="I11" i="186" s="1"/>
  <c r="I5" i="212" s="1"/>
  <c r="H6" i="176" l="1"/>
  <c r="I6" i="176" s="1"/>
  <c r="C5" i="222" s="1"/>
  <c r="Q5" i="217"/>
  <c r="Q5" i="214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C4" i="222" s="1"/>
  <c r="H17" i="167"/>
  <c r="G6" i="167"/>
  <c r="J10" i="167"/>
  <c r="J6" i="167" s="1"/>
  <c r="M9" i="191" l="1"/>
  <c r="M9" i="192" s="1"/>
  <c r="M9" i="206" s="1"/>
  <c r="N7" i="191"/>
  <c r="R5" i="217"/>
  <c r="R5" i="214"/>
  <c r="R5" i="186"/>
  <c r="Q5" i="193"/>
  <c r="S5" i="182"/>
  <c r="I5" i="216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214"/>
  <c r="S5" i="217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C6" i="222" s="1"/>
  <c r="I15" i="180"/>
  <c r="I5" i="182"/>
  <c r="I11" i="180"/>
  <c r="C8" i="219" s="1"/>
  <c r="C12" i="219" s="1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5" i="217"/>
  <c r="I11" i="217" s="1"/>
  <c r="I5" i="214"/>
  <c r="I11" i="182"/>
  <c r="C9" i="209"/>
  <c r="L17" i="180"/>
  <c r="L19" i="180"/>
  <c r="K17" i="180"/>
  <c r="K19" i="180"/>
  <c r="G35" i="155"/>
  <c r="G36" i="155"/>
  <c r="O9" i="192" l="1"/>
  <c r="O9" i="206" s="1"/>
  <c r="Q7" i="191"/>
  <c r="P9" i="191"/>
  <c r="C21" i="219"/>
  <c r="C4" i="219"/>
  <c r="C15" i="219"/>
  <c r="I4" i="212"/>
  <c r="I6" i="212" s="1"/>
  <c r="I11" i="214"/>
  <c r="I14" i="214"/>
  <c r="I17" i="214" s="1"/>
  <c r="I11" i="193"/>
  <c r="C8" i="209"/>
  <c r="I13" i="172"/>
  <c r="P9" i="192" l="1"/>
  <c r="P9" i="206" s="1"/>
  <c r="R7" i="191"/>
  <c r="Q9" i="191"/>
  <c r="C13" i="219"/>
  <c r="C14" i="219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R25" i="177"/>
  <c r="O25" i="177"/>
  <c r="Q25" i="177"/>
  <c r="S25" i="177"/>
  <c r="P25" i="177"/>
  <c r="S16" i="177"/>
  <c r="O16" i="177"/>
  <c r="P16" i="177"/>
  <c r="R16" i="177"/>
  <c r="Q16" i="177"/>
  <c r="E21" i="177"/>
  <c r="P21" i="177" s="1"/>
  <c r="E18" i="178"/>
  <c r="E23" i="178"/>
  <c r="E15" i="175"/>
  <c r="E16" i="175"/>
  <c r="E12" i="178"/>
  <c r="P23" i="177"/>
  <c r="R23" i="177"/>
  <c r="O23" i="177"/>
  <c r="Q23" i="177"/>
  <c r="S23" i="177"/>
  <c r="O27" i="177"/>
  <c r="S27" i="177"/>
  <c r="Q27" i="177"/>
  <c r="R27" i="177"/>
  <c r="P27" i="177"/>
  <c r="D30" i="178"/>
  <c r="C34" i="178"/>
  <c r="C18" i="175"/>
  <c r="D18" i="175"/>
  <c r="C19" i="175"/>
  <c r="N27" i="177"/>
  <c r="K27" i="177"/>
  <c r="M27" i="177"/>
  <c r="L27" i="177"/>
  <c r="J27" i="177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H9" i="179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K21" i="177"/>
  <c r="O10" i="177"/>
  <c r="S10" i="177"/>
  <c r="Q10" i="177"/>
  <c r="P10" i="177"/>
  <c r="L21" i="177"/>
  <c r="E18" i="175"/>
  <c r="E24" i="175" s="1"/>
  <c r="O21" i="177"/>
  <c r="N21" i="177"/>
  <c r="C24" i="175"/>
  <c r="M21" i="177"/>
  <c r="E14" i="178"/>
  <c r="J21" i="177"/>
  <c r="Q21" i="177"/>
  <c r="I21" i="177"/>
  <c r="I20" i="177" s="1"/>
  <c r="R21" i="177"/>
  <c r="S21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Q30" i="177"/>
  <c r="P30" i="177"/>
  <c r="O30" i="177"/>
  <c r="S30" i="177"/>
  <c r="R30" i="177"/>
  <c r="F19" i="175"/>
  <c r="F18" i="175"/>
  <c r="I30" i="177"/>
  <c r="I29" i="177" s="1"/>
  <c r="N30" i="177"/>
  <c r="K30" i="177"/>
  <c r="L30" i="177"/>
  <c r="M30" i="177"/>
  <c r="J30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C15" i="155"/>
  <c r="C19" i="155" s="1"/>
  <c r="C21" i="155" s="1"/>
  <c r="C23" i="155" s="1"/>
  <c r="C17" i="176" s="1"/>
  <c r="I31" i="168"/>
  <c r="I8" i="168" s="1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8" i="177"/>
  <c r="H12" i="178" s="1"/>
  <c r="F9" i="176"/>
  <c r="F9" i="216" s="1"/>
  <c r="F7" i="216" s="1"/>
  <c r="F8" i="216"/>
  <c r="F6" i="216" s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E9" i="176"/>
  <c r="E11" i="176" s="1"/>
  <c r="E14" i="176" s="1"/>
  <c r="E24" i="178" s="1"/>
  <c r="E8" i="216"/>
  <c r="E6" i="216" s="1"/>
  <c r="F11" i="176"/>
  <c r="F14" i="176" s="1"/>
  <c r="F5" i="178"/>
  <c r="F7" i="178" s="1"/>
  <c r="F9" i="178" s="1"/>
  <c r="F20" i="178" s="1"/>
  <c r="C14" i="169"/>
  <c r="D7" i="176"/>
  <c r="E35" i="155"/>
  <c r="E36" i="155"/>
  <c r="N25" i="177"/>
  <c r="J25" i="177"/>
  <c r="M25" i="177"/>
  <c r="I25" i="177"/>
  <c r="I24" i="177" s="1"/>
  <c r="L25" i="177"/>
  <c r="K25" i="177"/>
  <c r="F24" i="178" l="1"/>
  <c r="C3" i="222"/>
  <c r="E9" i="216"/>
  <c r="E7" i="216" s="1"/>
  <c r="E5" i="178"/>
  <c r="E7" i="178" s="1"/>
  <c r="E9" i="178" s="1"/>
  <c r="E20" i="178" s="1"/>
  <c r="D9" i="176"/>
  <c r="D8" i="216"/>
  <c r="D6" i="216" s="1"/>
  <c r="F18" i="176"/>
  <c r="H26" i="168"/>
  <c r="H9" i="168" s="1"/>
  <c r="E18" i="176"/>
  <c r="G11" i="178"/>
  <c r="G12" i="178"/>
  <c r="I12" i="178" s="1"/>
  <c r="G7" i="176"/>
  <c r="G8" i="216" s="1"/>
  <c r="G6" i="216" s="1"/>
  <c r="D11" i="176" l="1"/>
  <c r="D14" i="176" s="1"/>
  <c r="D9" i="216"/>
  <c r="D7" i="21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9" i="216"/>
  <c r="G7" i="216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H8" i="216"/>
  <c r="H6" i="216" s="1"/>
  <c r="I14" i="178"/>
  <c r="G14" i="176"/>
  <c r="G18" i="176" s="1"/>
  <c r="I7" i="176"/>
  <c r="I9" i="176" l="1"/>
  <c r="I9" i="216" s="1"/>
  <c r="I7" i="216" s="1"/>
  <c r="I8" i="216"/>
  <c r="I6" i="216" s="1"/>
  <c r="H5" i="178"/>
  <c r="H6" i="178" s="1"/>
  <c r="H9" i="216"/>
  <c r="H7" i="216" s="1"/>
  <c r="G25" i="178"/>
  <c r="I5" i="178" l="1"/>
  <c r="C7" i="176"/>
  <c r="N23" i="177"/>
  <c r="C9" i="176" l="1"/>
  <c r="C11" i="176" s="1"/>
  <c r="C8" i="216"/>
  <c r="C6" i="216" s="1"/>
  <c r="J10" i="177"/>
  <c r="I10" i="177"/>
  <c r="I9" i="177" s="1"/>
  <c r="H17" i="178" s="1"/>
  <c r="N10" i="177"/>
  <c r="M10" i="177"/>
  <c r="L10" i="177"/>
  <c r="K10" i="177"/>
  <c r="G17" i="178"/>
  <c r="M23" i="177"/>
  <c r="I27" i="177"/>
  <c r="I26" i="177" s="1"/>
  <c r="K23" i="177"/>
  <c r="L23" i="177"/>
  <c r="J23" i="177"/>
  <c r="I23" i="177"/>
  <c r="I22" i="177" s="1"/>
  <c r="C14" i="176" l="1"/>
  <c r="C18" i="176" s="1"/>
  <c r="C9" i="216"/>
  <c r="C7" i="21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C9" i="219" s="1"/>
  <c r="C22" i="219" s="1"/>
  <c r="O9" i="217" l="1"/>
  <c r="O9" i="214"/>
  <c r="O15" i="214" s="1"/>
  <c r="O9" i="186"/>
  <c r="O9" i="193" s="1"/>
  <c r="Q9" i="180"/>
  <c r="P9" i="182"/>
  <c r="O10" i="214"/>
  <c r="O16" i="214" s="1"/>
  <c r="O10" i="217"/>
  <c r="O10" i="186"/>
  <c r="O10" i="193" s="1"/>
  <c r="P7" i="180"/>
  <c r="O7" i="182"/>
  <c r="Q10" i="180"/>
  <c r="P10" i="182"/>
  <c r="C10" i="209"/>
  <c r="J6" i="214"/>
  <c r="J6" i="217"/>
  <c r="J11" i="217" s="1"/>
  <c r="K10" i="214"/>
  <c r="K16" i="214" s="1"/>
  <c r="K10" i="217"/>
  <c r="K6" i="214"/>
  <c r="K6" i="217"/>
  <c r="K9" i="214"/>
  <c r="K15" i="214" s="1"/>
  <c r="K9" i="217"/>
  <c r="K7" i="214"/>
  <c r="K7" i="217"/>
  <c r="L8" i="186"/>
  <c r="L8" i="193" s="1"/>
  <c r="L8" i="214"/>
  <c r="L8" i="217"/>
  <c r="C29" i="209"/>
  <c r="K7" i="186"/>
  <c r="K7" i="193" s="1"/>
  <c r="C30" i="209"/>
  <c r="K9" i="186"/>
  <c r="K9" i="193" s="1"/>
  <c r="C32" i="209"/>
  <c r="K10" i="186"/>
  <c r="K10" i="193" s="1"/>
  <c r="C33" i="209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P9" i="214" l="1"/>
  <c r="P15" i="214" s="1"/>
  <c r="P9" i="217"/>
  <c r="P9" i="186"/>
  <c r="P9" i="193" s="1"/>
  <c r="P10" i="214"/>
  <c r="P16" i="214" s="1"/>
  <c r="P10" i="217"/>
  <c r="P10" i="186"/>
  <c r="P10" i="193" s="1"/>
  <c r="R9" i="180"/>
  <c r="Q9" i="182"/>
  <c r="L6" i="182"/>
  <c r="M6" i="180"/>
  <c r="K11" i="217"/>
  <c r="R10" i="180"/>
  <c r="Q10" i="182"/>
  <c r="O7" i="214"/>
  <c r="O7" i="217"/>
  <c r="O7" i="186"/>
  <c r="O7" i="193" s="1"/>
  <c r="Q7" i="180"/>
  <c r="P7" i="182"/>
  <c r="N8" i="186"/>
  <c r="N8" i="193" s="1"/>
  <c r="N8" i="217"/>
  <c r="N8" i="214"/>
  <c r="K11" i="214"/>
  <c r="K14" i="214"/>
  <c r="K17" i="214" s="1"/>
  <c r="L10" i="186"/>
  <c r="L10" i="193" s="1"/>
  <c r="L10" i="217"/>
  <c r="L10" i="214"/>
  <c r="C34" i="209"/>
  <c r="K4" i="212"/>
  <c r="C5" i="219"/>
  <c r="C25" i="219"/>
  <c r="J4" i="212"/>
  <c r="M8" i="186"/>
  <c r="M8" i="193" s="1"/>
  <c r="M8" i="214"/>
  <c r="M8" i="217"/>
  <c r="J11" i="214"/>
  <c r="J14" i="214"/>
  <c r="J17" i="214" s="1"/>
  <c r="L7" i="186"/>
  <c r="L7" i="193" s="1"/>
  <c r="L7" i="214"/>
  <c r="L7" i="217"/>
  <c r="L9" i="186"/>
  <c r="L9" i="193" s="1"/>
  <c r="L9" i="214"/>
  <c r="L15" i="214" s="1"/>
  <c r="L9" i="217"/>
  <c r="C27" i="209"/>
  <c r="C15" i="209"/>
  <c r="K5" i="167"/>
  <c r="C11" i="222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L6" i="214"/>
  <c r="L11" i="214" s="1"/>
  <c r="J6" i="212"/>
  <c r="L14" i="214"/>
  <c r="K6" i="212"/>
  <c r="L6" i="217"/>
  <c r="L11" i="217" s="1"/>
  <c r="Q10" i="217"/>
  <c r="Q10" i="214"/>
  <c r="Q16" i="214" s="1"/>
  <c r="Q10" i="186"/>
  <c r="Q10" i="193" s="1"/>
  <c r="S10" i="180"/>
  <c r="S10" i="182" s="1"/>
  <c r="R10" i="182"/>
  <c r="Q9" i="214"/>
  <c r="Q15" i="214" s="1"/>
  <c r="Q9" i="217"/>
  <c r="Q9" i="186"/>
  <c r="Q9" i="193" s="1"/>
  <c r="S9" i="180"/>
  <c r="S9" i="182" s="1"/>
  <c r="R9" i="182"/>
  <c r="P7" i="217"/>
  <c r="P7" i="214"/>
  <c r="P7" i="186"/>
  <c r="P7" i="193" s="1"/>
  <c r="N6" i="180"/>
  <c r="O6" i="180" s="1"/>
  <c r="M6" i="182"/>
  <c r="R7" i="180"/>
  <c r="Q7" i="182"/>
  <c r="L16" i="214"/>
  <c r="N10" i="186"/>
  <c r="N10" i="193" s="1"/>
  <c r="N10" i="217"/>
  <c r="N10" i="214"/>
  <c r="N16" i="214" s="1"/>
  <c r="M10" i="186"/>
  <c r="M10" i="193" s="1"/>
  <c r="M10" i="217"/>
  <c r="M10" i="214"/>
  <c r="M16" i="214" s="1"/>
  <c r="M9" i="186"/>
  <c r="M9" i="193" s="1"/>
  <c r="M9" i="217"/>
  <c r="M9" i="214"/>
  <c r="C24" i="219"/>
  <c r="C23" i="219"/>
  <c r="N9" i="186"/>
  <c r="N9" i="193" s="1"/>
  <c r="N9" i="217"/>
  <c r="N9" i="214"/>
  <c r="N15" i="214" s="1"/>
  <c r="N7" i="186"/>
  <c r="N7" i="193" s="1"/>
  <c r="N7" i="214"/>
  <c r="N7" i="217"/>
  <c r="M7" i="186"/>
  <c r="M7" i="193" s="1"/>
  <c r="M7" i="214"/>
  <c r="M7" i="217"/>
  <c r="L11" i="186"/>
  <c r="L5" i="212" s="1"/>
  <c r="J7" i="177"/>
  <c r="J11" i="178" s="1"/>
  <c r="J5" i="216"/>
  <c r="K7" i="177"/>
  <c r="K5" i="216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L17" i="214"/>
  <c r="P6" i="180"/>
  <c r="O6" i="182"/>
  <c r="O11" i="180"/>
  <c r="R10" i="214"/>
  <c r="R16" i="214" s="1"/>
  <c r="R10" i="217"/>
  <c r="R10" i="186"/>
  <c r="R10" i="193" s="1"/>
  <c r="N11" i="180"/>
  <c r="S10" i="217"/>
  <c r="S10" i="214"/>
  <c r="S16" i="214" s="1"/>
  <c r="S10" i="186"/>
  <c r="S10" i="193" s="1"/>
  <c r="Q7" i="214"/>
  <c r="Q7" i="217"/>
  <c r="Q7" i="186"/>
  <c r="Q7" i="193" s="1"/>
  <c r="R9" i="214"/>
  <c r="R15" i="214" s="1"/>
  <c r="R9" i="217"/>
  <c r="R9" i="186"/>
  <c r="R9" i="193" s="1"/>
  <c r="S7" i="180"/>
  <c r="S7" i="182" s="1"/>
  <c r="R7" i="182"/>
  <c r="S9" i="214"/>
  <c r="S15" i="214" s="1"/>
  <c r="S9" i="217"/>
  <c r="S9" i="186"/>
  <c r="S9" i="193" s="1"/>
  <c r="M6" i="186"/>
  <c r="M6" i="217"/>
  <c r="M11" i="217" s="1"/>
  <c r="M6" i="214"/>
  <c r="M14" i="214" s="1"/>
  <c r="K11" i="178"/>
  <c r="J8" i="216"/>
  <c r="J6" i="216" s="1"/>
  <c r="C12" i="222"/>
  <c r="N6" i="214"/>
  <c r="N6" i="217"/>
  <c r="N11" i="217" s="1"/>
  <c r="M15" i="214"/>
  <c r="L5" i="216"/>
  <c r="J19" i="177"/>
  <c r="J13" i="178" s="1"/>
  <c r="J8" i="177"/>
  <c r="J12" i="178" s="1"/>
  <c r="L19" i="177"/>
  <c r="L8" i="177"/>
  <c r="K19" i="177"/>
  <c r="K8" i="177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7" i="177"/>
  <c r="L11" i="178" s="1"/>
  <c r="M6" i="193"/>
  <c r="M11" i="193" s="1"/>
  <c r="M6" i="176" s="1"/>
  <c r="C13" i="222"/>
  <c r="M11" i="214"/>
  <c r="M11" i="186"/>
  <c r="M5" i="212" s="1"/>
  <c r="S7" i="214"/>
  <c r="S7" i="217"/>
  <c r="S7" i="186"/>
  <c r="S7" i="193" s="1"/>
  <c r="M17" i="214"/>
  <c r="Q6" i="180"/>
  <c r="P6" i="182"/>
  <c r="P11" i="180"/>
  <c r="R7" i="217"/>
  <c r="R7" i="214"/>
  <c r="R7" i="186"/>
  <c r="R7" i="193" s="1"/>
  <c r="O6" i="214"/>
  <c r="O6" i="217"/>
  <c r="O11" i="217" s="1"/>
  <c r="O6" i="186"/>
  <c r="O11" i="182"/>
  <c r="O5" i="176" s="1"/>
  <c r="J5" i="178"/>
  <c r="N14" i="214"/>
  <c r="N17" i="214" s="1"/>
  <c r="N11" i="214"/>
  <c r="K8" i="169"/>
  <c r="K9" i="216"/>
  <c r="K7" i="216" s="1"/>
  <c r="K8" i="216"/>
  <c r="K6" i="216" s="1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5" i="216" l="1"/>
  <c r="M9" i="177"/>
  <c r="M24" i="177"/>
  <c r="M22" i="177"/>
  <c r="M20" i="177"/>
  <c r="M29" i="177"/>
  <c r="M18" i="178" s="1"/>
  <c r="L8" i="169"/>
  <c r="M6" i="212"/>
  <c r="M8" i="177"/>
  <c r="M12" i="178" s="1"/>
  <c r="M19" i="177"/>
  <c r="M13" i="178" s="1"/>
  <c r="M7" i="176"/>
  <c r="M7" i="177"/>
  <c r="M11" i="178" s="1"/>
  <c r="L9" i="176"/>
  <c r="L9" i="216" s="1"/>
  <c r="L7" i="216" s="1"/>
  <c r="L8" i="216"/>
  <c r="L6" i="216" s="1"/>
  <c r="N7" i="176"/>
  <c r="N7" i="177"/>
  <c r="J6" i="178"/>
  <c r="J7" i="178" s="1"/>
  <c r="J9" i="216"/>
  <c r="J7" i="216" s="1"/>
  <c r="P6" i="217"/>
  <c r="P11" i="217" s="1"/>
  <c r="P6" i="214"/>
  <c r="P6" i="186"/>
  <c r="P11" i="182"/>
  <c r="P5" i="176" s="1"/>
  <c r="O14" i="214"/>
  <c r="O17" i="214" s="1"/>
  <c r="O11" i="214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N5" i="216"/>
  <c r="C11" i="210"/>
  <c r="C11" i="22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M9" i="176"/>
  <c r="M5" i="178" s="1"/>
  <c r="M6" i="178" s="1"/>
  <c r="M7" i="178" s="1"/>
  <c r="M8" i="216"/>
  <c r="M6" i="216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8" i="177"/>
  <c r="O19" i="177"/>
  <c r="P11" i="214"/>
  <c r="P14" i="214"/>
  <c r="P17" i="214" s="1"/>
  <c r="Q6" i="214"/>
  <c r="Q6" i="217"/>
  <c r="Q11" i="217" s="1"/>
  <c r="Q6" i="186"/>
  <c r="Q11" i="182"/>
  <c r="Q5" i="176" s="1"/>
  <c r="O5" i="216"/>
  <c r="O24" i="177"/>
  <c r="O26" i="177"/>
  <c r="O15" i="177"/>
  <c r="O22" i="177"/>
  <c r="O9" i="177"/>
  <c r="O20" i="177"/>
  <c r="O29" i="177"/>
  <c r="C12" i="210"/>
  <c r="C12" i="221"/>
  <c r="N8" i="177"/>
  <c r="N19" i="177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M9" i="216" l="1"/>
  <c r="M7" i="216" s="1"/>
  <c r="O18" i="178"/>
  <c r="P6" i="212"/>
  <c r="O13" i="178"/>
  <c r="O17" i="178"/>
  <c r="Q11" i="214"/>
  <c r="Q14" i="214"/>
  <c r="Q17" i="214" s="1"/>
  <c r="P5" i="216"/>
  <c r="P20" i="177"/>
  <c r="P22" i="177"/>
  <c r="P24" i="177"/>
  <c r="P15" i="177"/>
  <c r="P26" i="177"/>
  <c r="P9" i="177"/>
  <c r="P29" i="177"/>
  <c r="O7" i="177"/>
  <c r="O11" i="178" s="1"/>
  <c r="O8" i="169"/>
  <c r="O8" i="216"/>
  <c r="O6" i="216" s="1"/>
  <c r="Q4" i="212"/>
  <c r="Q5" i="167"/>
  <c r="Q7" i="167" s="1"/>
  <c r="Q8" i="176" s="1"/>
  <c r="R6" i="214"/>
  <c r="R6" i="217"/>
  <c r="R11" i="217" s="1"/>
  <c r="R6" i="186"/>
  <c r="R11" i="182"/>
  <c r="R5" i="176" s="1"/>
  <c r="Q6" i="193"/>
  <c r="Q11" i="193" s="1"/>
  <c r="Q6" i="176" s="1"/>
  <c r="Q7" i="176" s="1"/>
  <c r="Q11" i="186"/>
  <c r="Q5" i="212" s="1"/>
  <c r="P8" i="177"/>
  <c r="P12" i="178" s="1"/>
  <c r="P19" i="177"/>
  <c r="P13" i="178" s="1"/>
  <c r="S6" i="182"/>
  <c r="S11" i="180"/>
  <c r="N8" i="216"/>
  <c r="N6" i="216" s="1"/>
  <c r="N13" i="178"/>
  <c r="N8" i="169"/>
  <c r="O12" i="178"/>
  <c r="N12" i="178"/>
  <c r="J26" i="168"/>
  <c r="J9" i="168" s="1"/>
  <c r="Q9" i="176" l="1"/>
  <c r="Q6" i="212"/>
  <c r="P17" i="178"/>
  <c r="O14" i="178"/>
  <c r="Q5" i="216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O9" i="216"/>
  <c r="O7" i="216" s="1"/>
  <c r="P18" i="178"/>
  <c r="Q8" i="177"/>
  <c r="Q12" i="178" s="1"/>
  <c r="Q19" i="177"/>
  <c r="Q13" i="178" s="1"/>
  <c r="R4" i="212"/>
  <c r="R5" i="167"/>
  <c r="R7" i="167" s="1"/>
  <c r="R8" i="176" s="1"/>
  <c r="S6" i="214"/>
  <c r="S6" i="217"/>
  <c r="S11" i="217" s="1"/>
  <c r="S6" i="186"/>
  <c r="S11" i="182"/>
  <c r="S5" i="176" s="1"/>
  <c r="R11" i="214"/>
  <c r="R14" i="214"/>
  <c r="R17" i="214" s="1"/>
  <c r="P7" i="177"/>
  <c r="P11" i="178" s="1"/>
  <c r="P14" i="178" s="1"/>
  <c r="P8" i="169"/>
  <c r="P8" i="216"/>
  <c r="P6" i="216" s="1"/>
  <c r="N5" i="178"/>
  <c r="N6" i="178" s="1"/>
  <c r="N7" i="178" s="1"/>
  <c r="N9" i="216"/>
  <c r="N7" i="216" s="1"/>
  <c r="N14" i="178"/>
  <c r="J10" i="168"/>
  <c r="J29" i="168"/>
  <c r="J8" i="178"/>
  <c r="R9" i="176" l="1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9" i="216"/>
  <c r="P7" i="216" s="1"/>
  <c r="P5" i="178"/>
  <c r="P6" i="178" s="1"/>
  <c r="P7" i="178" s="1"/>
  <c r="S14" i="214"/>
  <c r="S17" i="214" s="1"/>
  <c r="S11" i="214"/>
  <c r="R5" i="216"/>
  <c r="R15" i="177"/>
  <c r="R22" i="177"/>
  <c r="R26" i="177"/>
  <c r="R9" i="177"/>
  <c r="R24" i="177"/>
  <c r="R20" i="177"/>
  <c r="R29" i="177"/>
  <c r="R19" i="177"/>
  <c r="R13" i="178" s="1"/>
  <c r="R8" i="177"/>
  <c r="R12" i="178" s="1"/>
  <c r="Q7" i="177"/>
  <c r="Q11" i="178" s="1"/>
  <c r="Q14" i="178" s="1"/>
  <c r="Q8" i="169"/>
  <c r="Q8" i="216"/>
  <c r="Q6" i="216" s="1"/>
  <c r="C10" i="221"/>
  <c r="J9" i="178"/>
  <c r="J20" i="178" s="1"/>
  <c r="J18" i="172" s="1"/>
  <c r="C10" i="210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8" i="216"/>
  <c r="R6" i="216" s="1"/>
  <c r="R18" i="178"/>
  <c r="S5" i="216"/>
  <c r="S22" i="177"/>
  <c r="S24" i="177"/>
  <c r="S26" i="177"/>
  <c r="S15" i="177"/>
  <c r="S20" i="177"/>
  <c r="S9" i="177"/>
  <c r="S17" i="178" s="1"/>
  <c r="S29" i="177"/>
  <c r="S8" i="177"/>
  <c r="S12" i="178" s="1"/>
  <c r="S19" i="177"/>
  <c r="S13" i="178" s="1"/>
  <c r="Q9" i="216"/>
  <c r="Q7" i="216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9" i="216" l="1"/>
  <c r="R7" i="216" s="1"/>
  <c r="R5" i="178"/>
  <c r="R6" i="178" s="1"/>
  <c r="R7" i="178" s="1"/>
  <c r="S7" i="177"/>
  <c r="S11" i="178" s="1"/>
  <c r="S14" i="178" s="1"/>
  <c r="C29" i="210" s="1"/>
  <c r="S8" i="169"/>
  <c r="S8" i="216"/>
  <c r="S6" i="216" s="1"/>
  <c r="S18" i="178"/>
  <c r="K9" i="168"/>
  <c r="S9" i="216" l="1"/>
  <c r="S7" i="216" s="1"/>
  <c r="S5" i="178"/>
  <c r="S6" i="178" s="1"/>
  <c r="S7" i="178" s="1"/>
  <c r="C27" i="210" s="1"/>
  <c r="K29" i="168"/>
  <c r="K8" i="178"/>
  <c r="K9" i="178" s="1"/>
  <c r="K20" i="178" s="1"/>
  <c r="K18" i="172" s="1"/>
  <c r="J6" i="179"/>
  <c r="K10" i="168"/>
  <c r="K19" i="172" l="1"/>
  <c r="K20" i="172"/>
  <c r="K6" i="179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6" i="179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M6" i="179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6" i="179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O6" i="179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P29" i="168"/>
  <c r="P8" i="178"/>
  <c r="P9" i="178" s="1"/>
  <c r="P20" i="178" s="1"/>
  <c r="P10" i="168"/>
  <c r="I9" i="178"/>
  <c r="I20" i="178" s="1"/>
  <c r="C9" i="221"/>
  <c r="C9" i="210"/>
  <c r="H6" i="179"/>
  <c r="H10" i="179" s="1"/>
  <c r="I28" i="177"/>
  <c r="Q7" i="168" l="1"/>
  <c r="P13" i="177"/>
  <c r="P18" i="172"/>
  <c r="P6" i="179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C7" i="222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C10" i="222" s="1"/>
  <c r="C8" i="222"/>
  <c r="Q18" i="172"/>
  <c r="Q6" i="179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R6" i="179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C8" i="221"/>
  <c r="I31" i="178"/>
  <c r="I32" i="178" s="1"/>
  <c r="J30" i="178" s="1"/>
  <c r="C8" i="210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C30" i="210" s="1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C14" i="222" l="1"/>
  <c r="J22" i="178"/>
  <c r="S12" i="172"/>
  <c r="S10" i="176" s="1"/>
  <c r="S9" i="178"/>
  <c r="S20" i="178" s="1"/>
  <c r="C28" i="210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S6" i="179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0" i="172"/>
  <c r="M14" i="176"/>
  <c r="J25" i="178"/>
  <c r="C15" i="222"/>
  <c r="S28" i="177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C16" i="222"/>
  <c r="S31" i="177"/>
  <c r="F19" i="179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C13" i="210"/>
  <c r="C13" i="221"/>
  <c r="J28" i="178"/>
  <c r="C14" i="210" s="1"/>
  <c r="J18" i="175" l="1"/>
  <c r="J24" i="175" s="1"/>
  <c r="J9" i="179" s="1"/>
  <c r="J10" i="179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C14" i="221"/>
  <c r="J31" i="178"/>
  <c r="J32" i="178" s="1"/>
  <c r="K30" i="178" s="1"/>
  <c r="M34" i="177"/>
  <c r="M24" i="178"/>
  <c r="M28" i="178" s="1"/>
  <c r="M31" i="178" s="1"/>
  <c r="M16" i="175"/>
  <c r="K19" i="175" l="1"/>
  <c r="K24" i="175" s="1"/>
  <c r="K9" i="179" s="1"/>
  <c r="K10" i="179" s="1"/>
  <c r="L18" i="175"/>
  <c r="L24" i="175" s="1"/>
  <c r="L9" i="179" s="1"/>
  <c r="L10" i="179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F14" i="179" l="1"/>
  <c r="K34" i="178"/>
  <c r="K17" i="177"/>
  <c r="K36" i="177" s="1"/>
  <c r="N5" i="177"/>
  <c r="M24" i="175"/>
  <c r="M9" i="179" s="1"/>
  <c r="M10" i="179" s="1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N9" i="179" s="1"/>
  <c r="N10" i="179" s="1"/>
  <c r="P34" i="177"/>
  <c r="P16" i="175"/>
  <c r="P24" i="178"/>
  <c r="P28" i="178" s="1"/>
  <c r="P31" i="178" s="1"/>
  <c r="O19" i="175"/>
  <c r="O18" i="175"/>
  <c r="O24" i="175" l="1"/>
  <c r="O9" i="179" s="1"/>
  <c r="O10" i="179" s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P9" i="179" s="1"/>
  <c r="P10" i="179" s="1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C26" i="210"/>
  <c r="P34" i="178"/>
  <c r="P17" i="177"/>
  <c r="P36" i="177" s="1"/>
  <c r="S34" i="177"/>
  <c r="S24" i="178"/>
  <c r="S16" i="175"/>
  <c r="R18" i="175"/>
  <c r="R19" i="175"/>
  <c r="Q24" i="175"/>
  <c r="Q9" i="179" s="1"/>
  <c r="Q10" i="179" s="1"/>
  <c r="C31" i="210" l="1"/>
  <c r="S28" i="178"/>
  <c r="S5" i="177" s="1"/>
  <c r="Q34" i="178"/>
  <c r="Q17" i="177"/>
  <c r="Q36" i="177" s="1"/>
  <c r="R24" i="175"/>
  <c r="R9" i="179" s="1"/>
  <c r="R10" i="179" s="1"/>
  <c r="S19" i="175"/>
  <c r="S18" i="175"/>
  <c r="S24" i="175" l="1"/>
  <c r="S9" i="179" s="1"/>
  <c r="S7" i="179" s="1"/>
  <c r="R34" i="178"/>
  <c r="R17" i="177"/>
  <c r="R36" i="177" s="1"/>
  <c r="S31" i="178"/>
  <c r="S32" i="178" s="1"/>
  <c r="C32" i="210"/>
  <c r="S10" i="179" l="1"/>
  <c r="F18" i="179"/>
  <c r="S17" i="177"/>
  <c r="S36" i="177" s="1"/>
  <c r="S34" i="178"/>
  <c r="F15" i="179"/>
  <c r="S11" i="179"/>
  <c r="F16" i="179" s="1"/>
  <c r="F17" i="179" l="1"/>
  <c r="F20" i="179" l="1"/>
  <c r="G14" i="179"/>
  <c r="G16" i="179"/>
  <c r="F22" i="1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<sst xmlns="http://schemas.openxmlformats.org/spreadsheetml/2006/main" count="1296" uniqueCount="365">
  <si>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</si>
  <si>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</si>
  <si>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</si>
  <si>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</si>
  <si>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</si>
  <si>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</si>
  <si>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</si>
  <si>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</si>
  <si>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</si>
  <si>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</si>
  <si>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</si>
  <si>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</si>
  <si>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</si>
  <si>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</si>
  <si>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</si>
  <si>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</si>
  <si>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</si>
  <si>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</si>
  <si>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</si>
  <si>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</si>
  <si>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</si>
  <si>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</si>
  <si>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</si>
  <si>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</si>
  <si>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</si>
  <si>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</si>
  <si>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</si>
  <si>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</si>
  <si>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</si>
  <si>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</si>
  <si>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</si>
  <si>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</si>
  <si>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</si>
  <si>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</si>
  <si>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</si>
  <si>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</si>
  <si>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</si>
  <si>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</si>
  <si>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</si>
  <si>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</si>
  <si>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</si>
  <si>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</si>
  <si>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</si>
  <si>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</si>
  <si>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</si>
  <si>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</si>
  <si>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</si>
  <si>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</si>
  <si>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</si>
  <si>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</si>
  <si>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</si>
  <si>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</si>
  <si>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</si>
  <si>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</si>
  <si>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</si>
  <si>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</si>
  <si>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</si>
  <si>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</si>
  <si>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</si>
  <si>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</si>
  <si>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</si>
  <si>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</si>
  <si>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</si>
  <si>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</si>
  <si>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</si>
  <si>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</si>
  <si>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</si>
  <si>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</si>
  <si>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</si>
  <si>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</si>
  <si>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</si>
  <si>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</si>
  <si>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</si>
  <si>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</si>
  <si>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</si>
  <si>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</si>
  <si>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</si>
  <si>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</si>
  <si>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</si>
  <si>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</si>
  <si>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</si>
  <si>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</si>
  <si>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</si>
  <si>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</si>
  <si>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</si>
  <si>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</si>
  <si>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</si>
  <si>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</si>
  <si>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</si>
  <si>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</si>
  <si>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</si>
  <si>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</si>
  <si>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</si>
  <si>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</si>
  <si>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</si>
  <si>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</si>
  <si>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</si>
  <si>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</si>
  <si>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</si>
  <si>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</si>
  <si>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</si>
  <si>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</si>
  <si>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</si>
  <si>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</si>
  <si>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</si>
  <si>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</si>
  <si>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</si>
  <si>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</si>
  <si>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</si>
  <si>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</si>
  <si>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</si>
  <si>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</si>
  <si>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</si>
  <si>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</si>
  <si>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</si>
  <si>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</si>
  <si>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</si>
  <si>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</si>
  <si>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</si>
  <si>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</si>
  <si>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</si>
  <si>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</si>
  <si>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</si>
  <si>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</si>
  <si>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</si>
  <si>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</si>
  <si>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</si>
  <si>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</si>
  <si>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</si>
  <si>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</si>
  <si>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</si>
  <si>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</si>
  <si>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</si>
  <si>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</si>
  <si>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</si>
  <si>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</si>
  <si>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</si>
  <si>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</si>
  <si>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</si>
  <si>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</si>
  <si>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</si>
  <si>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</si>
  <si>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</si>
  <si>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</si>
  <si>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</si>
  <si>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</si>
  <si>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</si>
  <si>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</si>
  <si>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</si>
  <si>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</si>
  <si>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of Enterprise Value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</si>
  <si>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</si>
  <si>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</si>
  <si>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</si>
  <si>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</si>
  <si>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</si>
  <si>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</si>
  <si>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</si>
  <si>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</si>
  <si>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</si>
  <si>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</si>
  <si>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</si>
  <si>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</si>
  <si>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</si>
  <si>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</si>
  <si>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</si>
  <si>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</si>
  <si>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</si>
  <si>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</si>
  <si>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</si>
  <si>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</si>
  <si>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</si>
  <si>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</si>
  <si>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</si>
  <si>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</si>
  <si>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</si>
  <si>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</si>
  <si>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</si>
  <si>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</si>
  <si>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</si>
  <si>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</si>
  <si>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</si>
  <si>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</si>
  <si>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</si>
  <si>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</si>
  <si>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</si>
  <si>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</si>
  <si>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</si>
  <si>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</si>
  <si>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</si>
  <si>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</si>
  <si>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</si>
  <si>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</si>
  <si>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</si>
  <si>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</si>
  <si>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</si>
  <si>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</si>
  <si>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</si>
  <si>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</si>
  <si>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</si>
  <si>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</si>
  <si>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</si>
  <si>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</si>
  <si>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</si>
  <si>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</si>
  <si>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</si>
  <si>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</si>
  <si>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</si>
  <si>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</si>
  <si>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</si>
  <si>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</si>
  <si>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</si>
  <si>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</si>
  <si>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</si>
  <si>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</si>
  <si>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</si>
  <si>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</si>
  <si>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</si>
  <si>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</si>
  <si>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</si>
  <si>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</si>
  <si>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</si>
  <si>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</si>
  <si>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</si>
  <si>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</si>
  <si>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</si>
  <si>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</si>
  <si>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</si>
  <si>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</si>
  <si>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</si>
  <si>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</si>
  <si>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</si>
  <si>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</si>
  <si>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</si>
  <si>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</si>
  <si>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</si>
  <si>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</si>
  <si>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</si>
  <si>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</si>
  <si>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</si>
  <si>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</si>
  <si>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</si>
  <si>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</si>
  <si>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</si>
  <si>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</si>
  <si>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</si>
  <si>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</si>
  <si>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</si>
  <si>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</si>
  <si>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</si>
  <si>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</si>
  <si>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</si>
  <si>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</si>
  <si>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</si>
  <si>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</si>
  <si>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</si>
  <si>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</si>
  <si>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</si>
  <si>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</si>
  <si>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</si>
  <si>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</si>
  <si>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</si>
  <si>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</si>
  <si>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</si>
  <si>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</si>
  <si>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</si>
  <si>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</si>
  <si>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</si>
  <si>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</si>
  <si>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</si>
  <si>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</si>
  <si>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</si>
  <si>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</si>
  <si>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</si>
  <si>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</si>
  <si>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</si>
  <si>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</si>
  <si>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</si>
  <si>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</si>
  <si>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</si>
  <si>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</si>
  <si>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</si>
  <si>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Bridge Charts --&gt;</t>
  </si>
  <si>
    <t>Revenue 2018</t>
  </si>
  <si>
    <t>Revenue 2019</t>
  </si>
  <si>
    <t>Revenue bridge</t>
  </si>
  <si>
    <t>Revenue 2020</t>
  </si>
  <si>
    <t>Cash Flow 2018</t>
  </si>
  <si>
    <t>Cash Flow 2019</t>
  </si>
  <si>
    <t>Working Capital</t>
  </si>
  <si>
    <t>Other</t>
  </si>
  <si>
    <t>Cash flow bridge</t>
  </si>
  <si>
    <t>Cash Flow 2027</t>
  </si>
  <si>
    <t>Cash Flow 2028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</si>
  <si>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</si>
  <si>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</si>
  <si>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</si>
  <si>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</si>
  <si>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</si>
  <si>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</si>
  <si>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</si>
  <si>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</si>
  <si>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</si>
  <si>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</si>
  <si>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</si>
  <si>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</si>
  <si>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</si>
  <si>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</si>
  <si>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</si>
  <si>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</si>
  <si>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Other Charts --&gt;</t>
  </si>
  <si>
    <t>Types of vehicles</t>
  </si>
  <si>
    <t>Vehicle type</t>
  </si>
  <si>
    <t>Car</t>
  </si>
  <si>
    <t>Pickup</t>
  </si>
  <si>
    <t>Truck</t>
  </si>
  <si>
    <t>Revenue</t>
  </si>
  <si>
    <t>EBIT%</t>
  </si>
  <si>
    <t>Revenue by type of car</t>
  </si>
  <si>
    <t>Price - Volume - Mix analysis --&gt;</t>
  </si>
  <si>
    <t>Revenue 2017 autom.</t>
  </si>
  <si>
    <t>Revenue 2018 autom.</t>
  </si>
  <si>
    <t>Average price 2017 ($ 000's)</t>
  </si>
  <si>
    <t>Average price 2018 ($ 000's)</t>
  </si>
  <si>
    <t>Average price 2019 ($ 000's)</t>
  </si>
  <si>
    <t>Deliveries 2017</t>
  </si>
  <si>
    <t>Deliveries 2018</t>
  </si>
  <si>
    <t>Deliveries 2019</t>
  </si>
  <si>
    <t>Δ Volume</t>
  </si>
  <si>
    <t>Δ Price</t>
  </si>
  <si>
    <t>Δ Mix</t>
  </si>
  <si>
    <t>Price-Volume-Mix Analysis Automotive</t>
  </si>
  <si>
    <t>Revenue 2019 autom.</t>
  </si>
  <si>
    <t>Expenses bridge</t>
  </si>
  <si>
    <t>Δ Revenues</t>
  </si>
  <si>
    <t>Δ Taxes</t>
  </si>
  <si>
    <t>Δ Cost of
 sales</t>
  </si>
  <si>
    <t>Δ Operating 
expenses</t>
  </si>
  <si>
    <t>Δ Interest 
expenses</t>
  </si>
  <si>
    <t>Δ Minority 
interest</t>
  </si>
  <si>
    <t>Net Inc. FY17</t>
  </si>
  <si>
    <t>Net Inc. FY18</t>
  </si>
  <si>
    <t>Net Inc. FY19</t>
  </si>
  <si>
    <t>Net Income Bridge FY17-FY19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</si>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</sst>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</xf>
  </cellStyleXfs>
  <cellXfs count="226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36" fillId="2" borderId="0" xfId="4" applyFill="1">
      <alignment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166" fontId="4" fillId="10" borderId="0" xfId="0" applyNumberFormat="1" applyFont="1" applyFill="1">
      <alignment vertical="top"/>
    </xf>
    <xf numFmtId="167" fontId="35" fillId="2" borderId="0" xfId="0" applyNumberFormat="1" applyFont="1" applyFill="1">
      <alignment vertical="top"/>
    </xf>
    <xf numFmtId="167" fontId="35" fillId="10" borderId="0" xfId="0" applyNumberFormat="1" applyFont="1" applyFill="1">
      <alignment vertical="top"/>
    </xf>
    <xf numFmtId="0" fontId="14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37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5">
    <cellStyle name="Comma" xfId="1" builtinId="3"/>
    <cellStyle name="Hyperlink" xfId="4" builtinId="8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040364117909397E-2"/>
          <c:y val="0.12679738562091503"/>
          <c:w val="0.81597186052132586"/>
          <c:h val="0.752872986464927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'Revenue by type of car'!$B$5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car'!$I$5:$S$5</c:f>
              <c:numCache>
                <c:formatCode>_(* #\ ##0_);_(* \(#\ ##0\);_(* "-"?_);@_)</c:formatCode>
                <c:ptCount val="11"/>
                <c:pt idx="0">
                  <c:v>5486.04</c:v>
                </c:pt>
                <c:pt idx="1">
                  <c:v>10920</c:v>
                </c:pt>
                <c:pt idx="2">
                  <c:v>17472</c:v>
                </c:pt>
                <c:pt idx="3">
                  <c:v>19219.200000000004</c:v>
                </c:pt>
                <c:pt idx="4">
                  <c:v>21141.120000000003</c:v>
                </c:pt>
                <c:pt idx="5">
                  <c:v>22198.176000000003</c:v>
                </c:pt>
                <c:pt idx="6">
                  <c:v>23308.084800000008</c:v>
                </c:pt>
                <c:pt idx="7">
                  <c:v>23774.246496000003</c:v>
                </c:pt>
                <c:pt idx="8">
                  <c:v>24249.731425920007</c:v>
                </c:pt>
                <c:pt idx="9">
                  <c:v>24734.726054438408</c:v>
                </c:pt>
                <c:pt idx="10">
                  <c:v>25229.420575527176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B-4B2F-88EA-096539302D83}"/>
            </c:ext>
          </c:extLst>
        </c:ser>
        <c:ser>
          <c:idx val="1"/>
          <c:order val="1"/>
          <c:tx>
            <c:strRef>
              <c:f>'Revenue by type of car'!$B$6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car'!$I$6:$S$6</c:f>
              <c:numCache>
                <c:formatCode>_(* #\ ##0_);_(* \(#\ ##0\);_(* "-"?_);@_)</c:formatCode>
                <c:ptCount val="11"/>
                <c:pt idx="0">
                  <c:v>8750</c:v>
                </c:pt>
                <c:pt idx="1">
                  <c:v>8925</c:v>
                </c:pt>
                <c:pt idx="2">
                  <c:v>9103.5</c:v>
                </c:pt>
                <c:pt idx="3">
                  <c:v>9285.57</c:v>
                </c:pt>
                <c:pt idx="4">
                  <c:v>9471.2813999999998</c:v>
                </c:pt>
                <c:pt idx="5">
                  <c:v>9660.7070280000007</c:v>
                </c:pt>
                <c:pt idx="6">
                  <c:v>9853.9211685600021</c:v>
                </c:pt>
                <c:pt idx="7">
                  <c:v>10050.9995919312</c:v>
                </c:pt>
                <c:pt idx="8">
                  <c:v>10252.019583769825</c:v>
                </c:pt>
                <c:pt idx="9">
                  <c:v>10457.059975445223</c:v>
                </c:pt>
                <c:pt idx="10">
                  <c:v>10666.201174954127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B-4B2F-88EA-096539302D83}"/>
            </c:ext>
          </c:extLst>
        </c:ser>
        <c:ser>
          <c:idx val="2"/>
          <c:order val="2"/>
          <c:tx>
            <c:strRef>
              <c:f>'Revenue by type of car'!$B$7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car'!$I$7:$S$7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88.2</c:v>
                </c:pt>
                <c:pt idx="2">
                  <c:v>6531</c:v>
                </c:pt>
                <c:pt idx="3">
                  <c:v>13000</c:v>
                </c:pt>
                <c:pt idx="4">
                  <c:v>20800</c:v>
                </c:pt>
                <c:pt idx="5">
                  <c:v>22880.000000000004</c:v>
                </c:pt>
                <c:pt idx="6">
                  <c:v>25168.000000000007</c:v>
                </c:pt>
                <c:pt idx="7">
                  <c:v>26426.400000000009</c:v>
                </c:pt>
                <c:pt idx="8">
                  <c:v>27747.720000000008</c:v>
                </c:pt>
                <c:pt idx="9">
                  <c:v>28302.674400000007</c:v>
                </c:pt>
                <c:pt idx="10">
                  <c:v>28868.727888000005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B-4B2F-88EA-096539302D83}"/>
            </c:ext>
          </c:extLst>
        </c:ser>
        <c:ser>
          <c:idx val="3"/>
          <c:order val="3"/>
          <c:tx>
            <c:strRef>
              <c:f>'Revenue by type of car'!$B$8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car'!$I$8:$S$8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115</c:v>
                </c:pt>
                <c:pt idx="3">
                  <c:v>230</c:v>
                </c:pt>
                <c:pt idx="4">
                  <c:v>345</c:v>
                </c:pt>
                <c:pt idx="5">
                  <c:v>379.50000000000006</c:v>
                </c:pt>
                <c:pt idx="6">
                  <c:v>417.4500000000001</c:v>
                </c:pt>
                <c:pt idx="7">
                  <c:v>438.3225000000001</c:v>
                </c:pt>
                <c:pt idx="8">
                  <c:v>460.23862500000013</c:v>
                </c:pt>
                <c:pt idx="9">
                  <c:v>469.44339750000017</c:v>
                </c:pt>
                <c:pt idx="10">
                  <c:v>478.83226545000019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B-4B2F-88EA-096539302D83}"/>
            </c:ext>
          </c:extLst>
        </c:ser>
        <c:ser>
          <c:idx val="4"/>
          <c:order val="4"/>
          <c:tx>
            <c:strRef>
              <c:f>'Revenue by type of car'!$B$9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E-4EC1-966D-E5710818D8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E-4EC1-966D-E5710818D8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E-4EC1-966D-E5710818D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car'!$I$9:$S$9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B-4B2F-88EA-096539302D83}"/>
            </c:ext>
          </c:extLst>
        </c:ser>
        <c:ser>
          <c:idx val="5"/>
          <c:order val="5"/>
          <c:tx>
            <c:strRef>
              <c:f>'Revenue by type of car'!$B$10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car'!$I$10:$S$10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4B-4B2F-88EA-09653930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4243080"/>
        <c:axId val="614247016"/>
      </c:bar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'Types of vehicles'!$B$14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vehicles'!$I$14:$S$14</c:f>
              <c:numCache>
                <c:formatCode>_(* #\ ##0_);_(* \(#\ ##0\);_(* "-"?_);@_)</c:formatCode>
                <c:ptCount val="11"/>
                <c:pt idx="0">
                  <c:v>14236.04</c:v>
                </c:pt>
                <c:pt idx="1">
                  <c:v>19933.2</c:v>
                </c:pt>
                <c:pt idx="2">
                  <c:v>33221.5</c:v>
                </c:pt>
                <c:pt idx="3">
                  <c:v>41734.770000000004</c:v>
                </c:pt>
                <c:pt idx="4">
                  <c:v>51757.401400000002</c:v>
                </c:pt>
                <c:pt idx="5">
                  <c:v>55118.383028000011</c:v>
                </c:pt>
                <c:pt idx="6">
                  <c:v>58747.455968560018</c:v>
                </c:pt>
                <c:pt idx="7">
                  <c:v>60689.968587931216</c:v>
                </c:pt>
                <c:pt idx="8">
                  <c:v>62709.70963468984</c:v>
                </c:pt>
                <c:pt idx="9">
                  <c:v>63963.903827383634</c:v>
                </c:pt>
                <c:pt idx="10">
                  <c:v>65243.181903931305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3-4B07-8B65-A759A9F3A214}"/>
            </c:ext>
          </c:extLst>
        </c:ser>
        <c:ser>
          <c:idx val="1"/>
          <c:order val="1"/>
          <c:tx>
            <c:strRef>
              <c:f>'Types of vehicles'!$B$15</c:f>
              <c:strCache>
                <c:ptCount val="1"/>
                <c:pt idx="0">
                  <c:v>Pickup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vehicles'!$I$15:$S$15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3-4B07-8B65-A759A9F3A214}"/>
            </c:ext>
          </c:extLst>
        </c:ser>
        <c:ser>
          <c:idx val="2"/>
          <c:order val="2"/>
          <c:tx>
            <c:strRef>
              <c:f>'Types of vehicles'!$B$16</c:f>
              <c:strCache>
                <c:ptCount val="1"/>
                <c:pt idx="0">
                  <c:v>Truck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vehicles'!$I$16:$S$16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3-4B07-8B65-A759A9F3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243080"/>
        <c:axId val="614247016"/>
      </c:area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midCat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rgbClr val="002060"/>
                </a:solidFill>
              </a:rPr>
              <a:t>Tesla</a:t>
            </a:r>
            <a:r>
              <a:rPr lang="en-US" sz="1000" b="1" baseline="0">
                <a:solidFill>
                  <a:srgbClr val="002060"/>
                </a:solidFill>
              </a:rPr>
              <a:t> profitability: 2018-2028</a:t>
            </a:r>
            <a:endParaRPr lang="en-US" sz="10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405701754385964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28378401712948E-2"/>
          <c:y val="0.17824074074074073"/>
          <c:w val="0.86747964584196713"/>
          <c:h val="0.58887831729367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Profitability!$B$5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Profitability!$C$4:$S$4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Profitability!$C$5:$S$5</c:f>
              <c:numCache>
                <c:formatCode>_(* #\ ##0_);_(* \(#\ ##0\);_(* "-"??_);_(@_)</c:formatCode>
                <c:ptCount val="15"/>
                <c:pt idx="0">
                  <c:v>3198.3560000000002</c:v>
                </c:pt>
                <c:pt idx="1">
                  <c:v>4046.0250000000001</c:v>
                </c:pt>
                <c:pt idx="2">
                  <c:v>7000.1319999999996</c:v>
                </c:pt>
                <c:pt idx="3">
                  <c:v>11758.751</c:v>
                </c:pt>
                <c:pt idx="4">
                  <c:v>17988.216</c:v>
                </c:pt>
                <c:pt idx="5">
                  <c:v>23056.672880000002</c:v>
                </c:pt>
                <c:pt idx="6">
                  <c:v>41514.780577980957</c:v>
                </c:pt>
                <c:pt idx="7">
                  <c:v>55124.434679548234</c:v>
                </c:pt>
                <c:pt idx="8">
                  <c:v>71183.609225627253</c:v>
                </c:pt>
                <c:pt idx="9">
                  <c:v>76330.390080534518</c:v>
                </c:pt>
                <c:pt idx="10">
                  <c:v>81914.432877353174</c:v>
                </c:pt>
                <c:pt idx="11">
                  <c:v>85059.345517147638</c:v>
                </c:pt>
                <c:pt idx="12">
                  <c:v>88344.249655849737</c:v>
                </c:pt>
                <c:pt idx="13">
                  <c:v>90309.118249813109</c:v>
                </c:pt>
                <c:pt idx="14">
                  <c:v>92325.163231706567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39181288"/>
        <c:axId val="614219792"/>
      </c:barChart>
      <c:lineChart>
        <c:grouping val="standard"/>
        <c:varyColors val="0"/>
        <c:ser>
          <c:idx val="1"/>
          <c:order val="1"/>
          <c:tx>
            <c:strRef>
              <c:f>Profitability!$B$6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7817982456140351E-2"/>
                  <c:y val="9.2592592592592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1-4978-90E2-423C850A09AC}"/>
                </c:ext>
              </c:extLst>
            </c:dLbl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Profitability!$C$6:$S$6</c:f>
              <c:numCache>
                <c:formatCode>0.0%</c:formatCode>
                <c:ptCount val="15"/>
                <c:pt idx="0">
                  <c:v>0.27566380978227573</c:v>
                </c:pt>
                <c:pt idx="1">
                  <c:v>0.22824945471172328</c:v>
                </c:pt>
                <c:pt idx="2">
                  <c:v>0.22846097759299391</c:v>
                </c:pt>
                <c:pt idx="3">
                  <c:v>0.18900706376042839</c:v>
                </c:pt>
                <c:pt idx="4">
                  <c:v>0.17219564975687915</c:v>
                </c:pt>
                <c:pt idx="5">
                  <c:v>0.15368543568256249</c:v>
                </c:pt>
                <c:pt idx="6">
                  <c:v>0.15821717044057299</c:v>
                </c:pt>
                <c:pt idx="7">
                  <c:v>0.16315866595464171</c:v>
                </c:pt>
                <c:pt idx="8">
                  <c:v>0.16667073554755835</c:v>
                </c:pt>
                <c:pt idx="9">
                  <c:v>0.16705291890552015</c:v>
                </c:pt>
                <c:pt idx="10">
                  <c:v>0.1674438735575999</c:v>
                </c:pt>
                <c:pt idx="11">
                  <c:v>0.16770615870465166</c:v>
                </c:pt>
                <c:pt idx="12">
                  <c:v>0.16796620059890155</c:v>
                </c:pt>
                <c:pt idx="13">
                  <c:v>0.1679193924830629</c:v>
                </c:pt>
                <c:pt idx="14">
                  <c:v>0.16787096572465604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90-4766-AE82-D6428E53EC50}"/>
            </c:ext>
          </c:extLst>
        </c:ser>
        <c:ser>
          <c:idx val="2"/>
          <c:order val="2"/>
          <c:tx>
            <c:strRef>
              <c:f>Profitability!$B$7</c:f>
              <c:strCache>
                <c:ptCount val="1"/>
                <c:pt idx="0">
                  <c:v>EBIT%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5076754385965114E-2"/>
                  <c:y val="1.822688830562846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223684210526315E-2"/>
                      <c:h val="5.6458515602216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9F1-4978-90E2-423C850A09AC}"/>
                </c:ext>
              </c:extLst>
            </c:dLbl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Profitability!$C$7:$S$7</c:f>
              <c:numCache>
                <c:formatCode>0.0%</c:formatCode>
                <c:ptCount val="15"/>
                <c:pt idx="0">
                  <c:v>-5.8370300241749079E-2</c:v>
                </c:pt>
                <c:pt idx="1">
                  <c:v>-0.17711927138364195</c:v>
                </c:pt>
                <c:pt idx="2">
                  <c:v>-9.5332488015940367E-2</c:v>
                </c:pt>
                <c:pt idx="3">
                  <c:v>-0.13879756446921945</c:v>
                </c:pt>
                <c:pt idx="4">
                  <c:v>-0.11104239458027236</c:v>
                </c:pt>
                <c:pt idx="5">
                  <c:v>2.8767539418611564E-2</c:v>
                </c:pt>
                <c:pt idx="6">
                  <c:v>3.3299274176622047E-2</c:v>
                </c:pt>
                <c:pt idx="7">
                  <c:v>3.8240769690690797E-2</c:v>
                </c:pt>
                <c:pt idx="8">
                  <c:v>4.1752839283607408E-2</c:v>
                </c:pt>
                <c:pt idx="9">
                  <c:v>4.2135022641569229E-2</c:v>
                </c:pt>
                <c:pt idx="10">
                  <c:v>4.252597729364898E-2</c:v>
                </c:pt>
                <c:pt idx="11">
                  <c:v>4.278826244070074E-2</c:v>
                </c:pt>
                <c:pt idx="12">
                  <c:v>4.3048304334950611E-2</c:v>
                </c:pt>
                <c:pt idx="13">
                  <c:v>4.3001496219111979E-2</c:v>
                </c:pt>
                <c:pt idx="14">
                  <c:v>4.295306946070513E-2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35208"/>
        <c:axId val="614236192"/>
      </c:lineChart>
      <c:catAx>
        <c:axId val="43918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19792"/>
        <c:crosses val="autoZero"/>
        <c:auto val="1"/>
        <c:lblAlgn val="ctr"/>
        <c:lblOffset val="100"/>
        <c:noMultiLvlLbl val="0"/>
      </c:catAx>
      <c:valAx>
        <c:axId val="614219792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181288"/>
        <c:crosses val="autoZero"/>
        <c:crossBetween val="between"/>
        <c:majorUnit val="20000"/>
      </c:valAx>
      <c:valAx>
        <c:axId val="614236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35208"/>
        <c:crosses val="max"/>
        <c:crossBetween val="between"/>
        <c:majorUnit val="0.1"/>
      </c:valAx>
      <c:catAx>
        <c:axId val="614235208"/>
        <c:scaling>
          <c:orientation val="minMax"/>
        </c:scaling>
        <c:delete val="1"/>
        <c:axPos val="b"/>
        <c:majorTickMark val="out"/>
        <c:minorTickMark val="none"/>
        <c:tickLblPos val="nextTo"/>
        <c:crossAx val="61423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Tesla: Revenue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Tesla: Revenue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_xlchart.v1.7</cx:f>
      </cx:numDim>
    </cx:data>
  </cx:chartData>
  <cx:chart>
    <cx:title pos="t" align="ctr" overlay="0">
      <cx:tx>
        <cx:txData>
          <cx:v>Tesla: Cash flow bridge 2027-2028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2027-2028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Tesla Inc. - Net Income bridge FY17-FY19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 Inc. - Net Income bridge FY17-FY19</a:t>
          </a:r>
        </a:p>
      </cx:txPr>
    </cx:title>
    <cx:plotArea>
      <cx:plotAreaRegion>
        <cx:series layoutId="waterfall" uniqueId="{CB559398-49B7-4531-BCA7-5A242B7AD24B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Pt idx="9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0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1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3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subtotals>
              <cx:idx val="0"/>
              <cx:idx val="7"/>
              <cx:idx val="13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bg-BG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$   </a:t>
                </a:r>
                <a:r>
                  <a:rPr lang="en-GB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in million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>
          <cx:spPr>
            <a:ln>
              <a:solidFill>
                <a:schemeClr val="bg1">
                  <a:lumMod val="50000"/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txData>
          <cx:v>Automotive revenue: Price - Volume - Mix Analysis 2017-2018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2017-2018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txData>
          <cx:v>Automotive revenue: Price - Volume - Mix Analysis 2018-2019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8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2018-2019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14/relationships/chartEx" Target="../charts/chartEx8.xml"/><Relationship Id="rId1" Type="http://schemas.microsoft.com/office/2014/relationships/chartEx" Target="../charts/chartEx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11</xdr:row>
      <xdr:rowOff>83820</xdr:rowOff>
    </xdr:from>
    <xdr:to>
      <xdr:col>20</xdr:col>
      <xdr:colOff>243840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5A947-05F3-4885-903C-1AE9E4EF8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17</xdr:row>
      <xdr:rowOff>106680</xdr:rowOff>
    </xdr:from>
    <xdr:to>
      <xdr:col>13</xdr:col>
      <xdr:colOff>510540</xdr:colOff>
      <xdr:row>36</xdr:row>
      <xdr:rowOff>53340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F8E367-D47A-4F2E-9106-04911915F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678180</xdr:colOff>
      <xdr:row>9</xdr:row>
      <xdr:rowOff>95250</xdr:rowOff>
    </xdr:from>
    <xdr:to>
      <xdr:col>19</xdr:col>
      <xdr:colOff>38100</xdr:colOff>
      <xdr:row>28</xdr:row>
      <xdr:rowOff>41910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61EE65-1412-4D60-8323-47891ED9B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274320</xdr:colOff>
      <xdr:row>0</xdr:row>
      <xdr:rowOff>190500</xdr:rowOff>
    </xdr:from>
    <xdr:to>
      <xdr:col>16</xdr:col>
      <xdr:colOff>167640</xdr:colOff>
      <xdr:row>15</xdr:row>
      <xdr:rowOff>91440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DFBB898-9EAB-4BBF-9976-B65A8C7A97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190500"/>
              <a:ext cx="8248650" cy="2105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274320</xdr:colOff>
      <xdr:row>16</xdr:row>
      <xdr:rowOff>121920</xdr:rowOff>
    </xdr:from>
    <xdr:to>
      <xdr:col>16</xdr:col>
      <xdr:colOff>167640</xdr:colOff>
      <xdr:row>31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1E5AB44-9AFF-4BC3-96EA-857236955B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2466975"/>
              <a:ext cx="8248650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19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93BF9DD-E731-40F8-B1D8-0D741C4064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19</xdr:row>
      <xdr:rowOff>125730</xdr:rowOff>
    </xdr:from>
    <xdr:to>
      <xdr:col>19</xdr:col>
      <xdr:colOff>160020</xdr:colOff>
      <xdr:row>38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BD75E2B-AC51-44A0-8536-CFA4CA42C3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9013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DEC695-FB3E-4392-9714-331EA9A7D0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18</xdr:row>
      <xdr:rowOff>125730</xdr:rowOff>
    </xdr:from>
    <xdr:to>
      <xdr:col>19</xdr:col>
      <xdr:colOff>160020</xdr:colOff>
      <xdr:row>36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EC51C3A-4C7C-46BA-8021-8E87E4F9F6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758440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0E6463F-098B-484A-A1F7-F0324042EF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</xdr:rowOff>
    </xdr:from>
    <xdr:to>
      <xdr:col>19</xdr:col>
      <xdr:colOff>152400</xdr:colOff>
      <xdr:row>15</xdr:row>
      <xdr:rowOff>22860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5B4F957-2118-4556-B26B-D80786E0D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2250" y="514350"/>
              <a:ext cx="9972675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196</v>
      </c>
      <c r="C9" s="101"/>
    </row>
    <row r="10" spans="2:3" ht="50.4" x14ac:dyDescent="0.25">
      <c r="B10" s="11" t="s">
        <v>197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274</v>
      </c>
    </row>
    <row r="2" spans="1:6" ht="15.6" x14ac:dyDescent="0.25">
      <c r="A2" s="1"/>
      <c r="B2" s="2"/>
    </row>
    <row r="3" spans="1:6" x14ac:dyDescent="0.25">
      <c r="B3" s="221" t="s">
        <v>200</v>
      </c>
    </row>
    <row r="5" spans="1:6" x14ac:dyDescent="0.25">
      <c r="F5" s="8" t="s">
        <v>202</v>
      </c>
    </row>
    <row r="6" spans="1:6" ht="12" x14ac:dyDescent="0.25">
      <c r="B6" s="36" t="s">
        <v>172</v>
      </c>
      <c r="C6" s="62" t="s">
        <v>199</v>
      </c>
      <c r="D6" s="62" t="s">
        <v>235</v>
      </c>
    </row>
    <row r="7" spans="1:6" x14ac:dyDescent="0.25">
      <c r="B7" s="8" t="s">
        <v>224</v>
      </c>
      <c r="C7" s="14">
        <v>9600340</v>
      </c>
      <c r="D7" s="14">
        <v>9600340</v>
      </c>
    </row>
    <row r="8" spans="1:6" x14ac:dyDescent="0.25">
      <c r="B8" s="8" t="s">
        <v>225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226</v>
      </c>
      <c r="C9" s="14">
        <v>4740000</v>
      </c>
      <c r="D9" s="14">
        <v>4740000</v>
      </c>
    </row>
    <row r="10" spans="1:6" x14ac:dyDescent="0.25">
      <c r="B10" s="8" t="s">
        <v>227</v>
      </c>
      <c r="C10" s="14">
        <v>2460000</v>
      </c>
      <c r="D10" s="14">
        <v>2460000</v>
      </c>
    </row>
    <row r="11" spans="1:6" x14ac:dyDescent="0.25">
      <c r="B11" s="8" t="s">
        <v>228</v>
      </c>
      <c r="C11" s="14">
        <v>10700000</v>
      </c>
      <c r="D11" s="14">
        <v>10700000</v>
      </c>
    </row>
    <row r="12" spans="1:6" x14ac:dyDescent="0.25">
      <c r="B12" s="129" t="s">
        <v>229</v>
      </c>
      <c r="C12" s="210" t="s">
        <v>65</v>
      </c>
      <c r="D12" s="210" t="s">
        <v>65</v>
      </c>
    </row>
    <row r="13" spans="1:6" x14ac:dyDescent="0.25">
      <c r="B13" s="129" t="s">
        <v>230</v>
      </c>
      <c r="C13" s="210" t="s">
        <v>65</v>
      </c>
      <c r="D13" s="210" t="s">
        <v>65</v>
      </c>
    </row>
    <row r="14" spans="1:6" x14ac:dyDescent="0.25">
      <c r="B14" s="129" t="s">
        <v>231</v>
      </c>
      <c r="C14" s="210" t="s">
        <v>65</v>
      </c>
      <c r="D14" s="210" t="s">
        <v>65</v>
      </c>
    </row>
    <row r="15" spans="1:6" x14ac:dyDescent="0.25">
      <c r="B15" s="129" t="s">
        <v>232</v>
      </c>
      <c r="C15" s="210" t="s">
        <v>65</v>
      </c>
      <c r="D15" s="210" t="s">
        <v>65</v>
      </c>
    </row>
    <row r="16" spans="1:6" x14ac:dyDescent="0.25">
      <c r="B16" s="129" t="s">
        <v>233</v>
      </c>
      <c r="C16" s="210" t="s">
        <v>65</v>
      </c>
      <c r="D16" s="210" t="s">
        <v>65</v>
      </c>
    </row>
    <row r="17" spans="2:4" x14ac:dyDescent="0.25">
      <c r="B17" s="129" t="s">
        <v>234</v>
      </c>
      <c r="C17" s="210" t="s">
        <v>65</v>
      </c>
      <c r="D17" s="210" t="s">
        <v>65</v>
      </c>
    </row>
    <row r="18" spans="2:4" ht="12" x14ac:dyDescent="0.25">
      <c r="B18" s="9" t="s">
        <v>199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213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0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T4" s="62" t="s">
        <v>179</v>
      </c>
    </row>
    <row r="5" spans="1:20" ht="13.2" customHeight="1" x14ac:dyDescent="0.25">
      <c r="B5" s="8" t="s">
        <v>175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181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176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178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177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174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175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181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176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178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177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174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175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181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176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178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177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174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175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181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176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178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177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174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175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181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176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178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177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174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206</v>
      </c>
    </row>
    <row r="2" spans="1:8" ht="15.6" x14ac:dyDescent="0.25">
      <c r="A2" s="1"/>
      <c r="B2" s="2"/>
    </row>
    <row r="3" spans="1:8" ht="13.2" x14ac:dyDescent="0.25">
      <c r="A3" s="1"/>
      <c r="B3" s="102" t="s">
        <v>200</v>
      </c>
    </row>
    <row r="5" spans="1:8" ht="24" x14ac:dyDescent="0.25">
      <c r="B5" s="36" t="s">
        <v>172</v>
      </c>
      <c r="C5" s="36" t="s">
        <v>198</v>
      </c>
      <c r="D5" s="62" t="s">
        <v>203</v>
      </c>
      <c r="E5" s="62" t="s">
        <v>204</v>
      </c>
      <c r="F5" s="62" t="s">
        <v>205</v>
      </c>
      <c r="G5" s="99"/>
      <c r="H5" s="62" t="s">
        <v>199</v>
      </c>
    </row>
    <row r="6" spans="1:8" x14ac:dyDescent="0.25">
      <c r="B6" s="8" t="s">
        <v>175</v>
      </c>
      <c r="C6" s="8" t="s">
        <v>207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181</v>
      </c>
      <c r="C7" s="8" t="s">
        <v>208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176</v>
      </c>
      <c r="C8" s="8" t="s">
        <v>208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178</v>
      </c>
      <c r="C9" s="8" t="s">
        <v>209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177</v>
      </c>
      <c r="C10" s="8" t="s">
        <v>207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174</v>
      </c>
      <c r="C11" s="8" t="s">
        <v>210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201</v>
      </c>
    </row>
    <row r="14" spans="1:8" x14ac:dyDescent="0.25">
      <c r="F14" s="8" t="s">
        <v>202</v>
      </c>
    </row>
    <row r="15" spans="1:8" ht="12" x14ac:dyDescent="0.25">
      <c r="B15" s="36" t="s">
        <v>172</v>
      </c>
      <c r="C15" s="36" t="s">
        <v>199</v>
      </c>
    </row>
    <row r="16" spans="1:8" x14ac:dyDescent="0.25">
      <c r="B16" s="8" t="s">
        <v>175</v>
      </c>
      <c r="C16" s="8" t="s">
        <v>65</v>
      </c>
    </row>
    <row r="17" spans="2:3" x14ac:dyDescent="0.25">
      <c r="B17" s="8" t="s">
        <v>181</v>
      </c>
      <c r="C17" s="103">
        <f>AVERAGE('P&amp;L Input'!C29:F29)</f>
        <v>0.25321088044477918</v>
      </c>
    </row>
    <row r="18" spans="2:3" x14ac:dyDescent="0.25">
      <c r="B18" s="8" t="s">
        <v>176</v>
      </c>
      <c r="C18" s="8" t="s">
        <v>65</v>
      </c>
    </row>
    <row r="19" spans="2:3" x14ac:dyDescent="0.25">
      <c r="B19" s="8" t="s">
        <v>178</v>
      </c>
      <c r="C19" s="8" t="s">
        <v>65</v>
      </c>
    </row>
    <row r="20" spans="2:3" x14ac:dyDescent="0.25">
      <c r="B20" s="8" t="s">
        <v>177</v>
      </c>
      <c r="C20" s="8" t="s">
        <v>65</v>
      </c>
    </row>
    <row r="21" spans="2:3" x14ac:dyDescent="0.25">
      <c r="B21" s="8" t="s">
        <v>174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24" t="s">
        <v>212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H14*'Revenue automotive'!H5</f>
        <v>540.65135235089315</v>
      </c>
      <c r="I5" s="74" t="s">
        <v>65</v>
      </c>
      <c r="J5" s="90">
        <f>J14*'Revenue automotive'!J5</f>
        <v>1351.6283808772328</v>
      </c>
      <c r="K5" s="90">
        <f>K14*'Revenue automotive'!K5</f>
        <v>2162.6054094035726</v>
      </c>
      <c r="L5" s="90">
        <f>L14*'Revenue automotive'!L5</f>
        <v>2378.8659503439303</v>
      </c>
      <c r="M5" s="90">
        <f>M14*'Revenue automotive'!M5</f>
        <v>2616.7525453783232</v>
      </c>
      <c r="N5" s="90">
        <f>N14*'Revenue automotive'!N5</f>
        <v>2747.5901726472393</v>
      </c>
      <c r="O5" s="90">
        <f>O14*'Revenue automotive'!O5</f>
        <v>2884.9696812796019</v>
      </c>
      <c r="P5" s="90">
        <f>P14*'Revenue automotive'!P5</f>
        <v>2942.6690749051932</v>
      </c>
      <c r="Q5" s="90">
        <f>Q14*'Revenue automotive'!Q5</f>
        <v>3001.5224564032974</v>
      </c>
      <c r="R5" s="90">
        <f>R14*'Revenue automotive'!R5</f>
        <v>3061.5529055313636</v>
      </c>
      <c r="S5" s="90">
        <f>S14*'Revenue automotive'!S5</f>
        <v>3122.7839636419908</v>
      </c>
    </row>
    <row r="6" spans="1:19" x14ac:dyDescent="0.25">
      <c r="B6" s="8" t="s">
        <v>181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H15*'Revenue automotive'!H6</f>
        <v>939.91790240112937</v>
      </c>
      <c r="I6" s="74" t="s">
        <v>65</v>
      </c>
      <c r="J6" s="90">
        <f>J15*'Revenue automotive'!J6</f>
        <v>1715.0559220915061</v>
      </c>
      <c r="K6" s="90">
        <f>K15*'Revenue automotive'!K6</f>
        <v>1749.3570405333362</v>
      </c>
      <c r="L6" s="90">
        <f>L15*'Revenue automotive'!L6</f>
        <v>1784.3441813440029</v>
      </c>
      <c r="M6" s="90">
        <f>M15*'Revenue automotive'!M6</f>
        <v>1820.0310649708831</v>
      </c>
      <c r="N6" s="90">
        <f>N15*'Revenue automotive'!N6</f>
        <v>1856.4316862703008</v>
      </c>
      <c r="O6" s="90">
        <f>O15*'Revenue automotive'!O6</f>
        <v>1893.560319995707</v>
      </c>
      <c r="P6" s="90">
        <f>P15*'Revenue automotive'!P6</f>
        <v>1931.4315263956209</v>
      </c>
      <c r="Q6" s="90">
        <f>Q15*'Revenue automotive'!Q6</f>
        <v>1970.0601569235334</v>
      </c>
      <c r="R6" s="90">
        <f>R15*'Revenue automotive'!R6</f>
        <v>2009.4613600620044</v>
      </c>
      <c r="S6" s="90">
        <f>S15*'Revenue automotive'!S6</f>
        <v>2049.6505872632442</v>
      </c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>
        <f>H16*'Revenue automotive'!H7</f>
        <v>0</v>
      </c>
      <c r="I7" s="90">
        <f t="shared" ref="I7:I10" si="0">G7+H7</f>
        <v>0</v>
      </c>
      <c r="J7" s="90">
        <f>J16*'Revenue automotive'!J7</f>
        <v>16.948787935963121</v>
      </c>
      <c r="K7" s="90">
        <f>K16*'Revenue automotive'!K7</f>
        <v>1255.0173924010785</v>
      </c>
      <c r="L7" s="90">
        <f>L16*'Revenue automotive'!L7</f>
        <v>2498.1206708335662</v>
      </c>
      <c r="M7" s="90">
        <f>M16*'Revenue automotive'!M7</f>
        <v>3996.993073333706</v>
      </c>
      <c r="N7" s="90">
        <f>N16*'Revenue automotive'!N7</f>
        <v>4396.6923806670775</v>
      </c>
      <c r="O7" s="90">
        <f>O16*'Revenue automotive'!O7</f>
        <v>4836.3616187337857</v>
      </c>
      <c r="P7" s="90">
        <f>P16*'Revenue automotive'!P7</f>
        <v>5078.1796996704752</v>
      </c>
      <c r="Q7" s="90">
        <f>Q16*'Revenue automotive'!Q7</f>
        <v>5332.0886846539988</v>
      </c>
      <c r="R7" s="90">
        <f>R16*'Revenue automotive'!R7</f>
        <v>5438.7304583470786</v>
      </c>
      <c r="S7" s="90">
        <f>S16*'Revenue automotive'!S7</f>
        <v>5547.5050675140201</v>
      </c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>
        <f>H17*'Revenue automotive'!H8</f>
        <v>0</v>
      </c>
      <c r="I8" s="90">
        <f t="shared" si="0"/>
        <v>0</v>
      </c>
      <c r="J8" s="90">
        <f>J17*'Revenue automotive'!J8</f>
        <v>0</v>
      </c>
      <c r="K8" s="90">
        <f>K17*'Revenue automotive'!K8</f>
        <v>45.210661689409548</v>
      </c>
      <c r="L8" s="90">
        <f>L17*'Revenue automotive'!L8</f>
        <v>90.421323378819096</v>
      </c>
      <c r="M8" s="90">
        <f>M17*'Revenue automotive'!M8</f>
        <v>135.63198506822866</v>
      </c>
      <c r="N8" s="90">
        <f>N17*'Revenue automotive'!N8</f>
        <v>149.19518357505154</v>
      </c>
      <c r="O8" s="90">
        <f>O17*'Revenue automotive'!O8</f>
        <v>164.1147019325567</v>
      </c>
      <c r="P8" s="90">
        <f>P17*'Revenue automotive'!P8</f>
        <v>172.32043702918455</v>
      </c>
      <c r="Q8" s="90">
        <f>Q17*'Revenue automotive'!Q8</f>
        <v>180.93645888064378</v>
      </c>
      <c r="R8" s="90">
        <f>R17*'Revenue automotive'!R8</f>
        <v>184.55518805825668</v>
      </c>
      <c r="S8" s="90">
        <f>S17*'Revenue automotive'!S8</f>
        <v>188.2462918194218</v>
      </c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>
        <f>H18*'Revenue automotive'!H9</f>
        <v>0</v>
      </c>
      <c r="I9" s="90">
        <f t="shared" si="0"/>
        <v>0</v>
      </c>
      <c r="J9" s="90">
        <f>J18*'Revenue automotive'!J9</f>
        <v>1.9494640108806243</v>
      </c>
      <c r="K9" s="90">
        <f>K18*'Revenue automotive'!K9</f>
        <v>144.35316842473193</v>
      </c>
      <c r="L9" s="90">
        <f>L18*'Revenue automotive'!L9</f>
        <v>287.33596532254103</v>
      </c>
      <c r="M9" s="90">
        <f>M18*'Revenue automotive'!M9</f>
        <v>459.73754451606573</v>
      </c>
      <c r="N9" s="90">
        <f>N18*'Revenue automotive'!N9</f>
        <v>505.71129896767229</v>
      </c>
      <c r="O9" s="90">
        <f>O18*'Revenue automotive'!O9</f>
        <v>556.28242886443968</v>
      </c>
      <c r="P9" s="90">
        <f>P18*'Revenue automotive'!P9</f>
        <v>584.09655030766157</v>
      </c>
      <c r="Q9" s="90">
        <f>Q18*'Revenue automotive'!Q9</f>
        <v>613.30137782304473</v>
      </c>
      <c r="R9" s="90">
        <f>R18*'Revenue automotive'!R9</f>
        <v>625.56740537950566</v>
      </c>
      <c r="S9" s="90">
        <f>S18*'Revenue automotive'!S9</f>
        <v>638.0787534870957</v>
      </c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>
        <f>H19*'Revenue automotive'!H10</f>
        <v>0</v>
      </c>
      <c r="I10" s="90">
        <f t="shared" si="0"/>
        <v>0</v>
      </c>
      <c r="J10" s="90">
        <f>J19*'Revenue automotive'!J10</f>
        <v>9.5844087288634174</v>
      </c>
      <c r="K10" s="90">
        <f>K19*'Revenue automotive'!K10</f>
        <v>709.7026463515532</v>
      </c>
      <c r="L10" s="90">
        <f>L19*'Revenue automotive'!L10</f>
        <v>1412.6679532338374</v>
      </c>
      <c r="M10" s="90">
        <f>M19*'Revenue automotive'!M10</f>
        <v>2260.2687251741399</v>
      </c>
      <c r="N10" s="90">
        <f>N19*'Revenue automotive'!N10</f>
        <v>2486.2955976915541</v>
      </c>
      <c r="O10" s="90">
        <f>O19*'Revenue automotive'!O10</f>
        <v>2734.9251574607097</v>
      </c>
      <c r="P10" s="90">
        <f>P19*'Revenue automotive'!P10</f>
        <v>2871.6714153337452</v>
      </c>
      <c r="Q10" s="90">
        <f>Q19*'Revenue automotive'!Q10</f>
        <v>3015.2549861004331</v>
      </c>
      <c r="R10" s="90">
        <f>R19*'Revenue automotive'!R10</f>
        <v>3075.5600858224416</v>
      </c>
      <c r="S10" s="90">
        <f>S19*'Revenue automotive'!S10</f>
        <v>3137.0712875388904</v>
      </c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>
        <f t="shared" ref="H11:N11" si="1">SUM(H5:H10)</f>
        <v>1480.5692547520225</v>
      </c>
      <c r="I11" s="127">
        <f>G11+H11</f>
        <v>2711.0202547520225</v>
      </c>
      <c r="J11" s="127">
        <f t="shared" si="1"/>
        <v>3095.1669636444458</v>
      </c>
      <c r="K11" s="127">
        <f t="shared" si="1"/>
        <v>6066.2463188036818</v>
      </c>
      <c r="L11" s="127">
        <f t="shared" si="1"/>
        <v>8451.7560444566952</v>
      </c>
      <c r="M11" s="127">
        <f t="shared" si="1"/>
        <v>11289.414938441347</v>
      </c>
      <c r="N11" s="127">
        <f t="shared" si="1"/>
        <v>12141.916319818894</v>
      </c>
      <c r="O11" s="127">
        <f t="shared" ref="O11:S11" si="2">SUM(O5:O10)</f>
        <v>13070.213908266798</v>
      </c>
      <c r="P11" s="127">
        <f t="shared" si="2"/>
        <v>13580.36870364188</v>
      </c>
      <c r="Q11" s="127">
        <f t="shared" si="2"/>
        <v>14113.164120784952</v>
      </c>
      <c r="R11" s="127">
        <f t="shared" si="2"/>
        <v>14395.427403200651</v>
      </c>
      <c r="S11" s="127">
        <f t="shared" si="2"/>
        <v>14683.335951264664</v>
      </c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175</v>
      </c>
      <c r="C14" s="95"/>
      <c r="D14" s="95"/>
      <c r="E14" s="95"/>
      <c r="F14" s="95"/>
      <c r="G14" s="94">
        <f>CHOOSE(Drivers!$C$3,'GP automotive'!G22,'GP automotive'!G30,'GP automotive'!G38)</f>
        <v>0.12377549275432535</v>
      </c>
      <c r="H14" s="94">
        <f>CHOOSE(Drivers!$C$3,'GP automotive'!H22,'GP automotive'!H30,'GP automotive'!H38)</f>
        <v>0.12377549275432535</v>
      </c>
      <c r="I14" s="94">
        <f>CHOOSE(Drivers!$C$3,'GP automotive'!I22,'GP automotive'!I30,'GP automotive'!I38)</f>
        <v>0.12377549275432535</v>
      </c>
      <c r="J14" s="94">
        <f>CHOOSE(Drivers!$C$3,'GP automotive'!J22,'GP automotive'!J30,'GP automotive'!J38)</f>
        <v>0.12377549275432535</v>
      </c>
      <c r="K14" s="94">
        <f>CHOOSE(Drivers!$C$3,'GP automotive'!K22,'GP automotive'!K30,'GP automotive'!K38)</f>
        <v>0.12377549275432535</v>
      </c>
      <c r="L14" s="94">
        <f>CHOOSE(Drivers!$C$3,'GP automotive'!L22,'GP automotive'!L30,'GP automotive'!L38)</f>
        <v>0.12377549275432535</v>
      </c>
      <c r="M14" s="94">
        <f>CHOOSE(Drivers!$C$3,'GP automotive'!M22,'GP automotive'!M30,'GP automotive'!M38)</f>
        <v>0.12377549275432535</v>
      </c>
      <c r="N14" s="94">
        <f>CHOOSE(Drivers!$C$3,'GP automotive'!N22,'GP automotive'!N30,'GP automotive'!N38)</f>
        <v>0.12377549275432535</v>
      </c>
      <c r="O14" s="94">
        <f>CHOOSE(Drivers!$C$3,'GP automotive'!O22,'GP automotive'!O30,'GP automotive'!O38)</f>
        <v>0.12377549275432535</v>
      </c>
      <c r="P14" s="94">
        <f>CHOOSE(Drivers!$C$3,'GP automotive'!P22,'GP automotive'!P30,'GP automotive'!P38)</f>
        <v>0.12377549275432535</v>
      </c>
      <c r="Q14" s="94">
        <f>CHOOSE(Drivers!$C$3,'GP automotive'!Q22,'GP automotive'!Q30,'GP automotive'!Q38)</f>
        <v>0.12377549275432535</v>
      </c>
      <c r="R14" s="94">
        <f>CHOOSE(Drivers!$C$3,'GP automotive'!R22,'GP automotive'!R30,'GP automotive'!R38)</f>
        <v>0.12377549275432535</v>
      </c>
      <c r="S14" s="94">
        <f>CHOOSE(Drivers!$C$3,'GP automotive'!S22,'GP automotive'!S30,'GP automotive'!S38)</f>
        <v>0.12377549275432535</v>
      </c>
    </row>
    <row r="15" spans="1:19" x14ac:dyDescent="0.25">
      <c r="B15" s="92" t="s">
        <v>181</v>
      </c>
      <c r="C15" s="95"/>
      <c r="D15" s="79"/>
      <c r="E15" s="79"/>
      <c r="F15" s="79"/>
      <c r="G15" s="94">
        <f>CHOOSE(Drivers!$C$3,'GP automotive'!G23,'GP automotive'!G31,'GP automotive'!G39)</f>
        <v>0.19216312852565895</v>
      </c>
      <c r="H15" s="94">
        <f>CHOOSE(Drivers!$C$3,'GP automotive'!H23,'GP automotive'!H31,'GP automotive'!H39)</f>
        <v>0.19216312852565895</v>
      </c>
      <c r="I15" s="94">
        <f>CHOOSE(Drivers!$C$3,'GP automotive'!I23,'GP automotive'!I31,'GP automotive'!I39)</f>
        <v>0.19216312852565895</v>
      </c>
      <c r="J15" s="94">
        <f>CHOOSE(Drivers!$C$3,'GP automotive'!J23,'GP automotive'!J31,'GP automotive'!J39)</f>
        <v>0.19216312852565895</v>
      </c>
      <c r="K15" s="94">
        <f>CHOOSE(Drivers!$C$3,'GP automotive'!K23,'GP automotive'!K31,'GP automotive'!K39)</f>
        <v>0.19216312852565895</v>
      </c>
      <c r="L15" s="94">
        <f>CHOOSE(Drivers!$C$3,'GP automotive'!L23,'GP automotive'!L31,'GP automotive'!L39)</f>
        <v>0.19216312852565895</v>
      </c>
      <c r="M15" s="94">
        <f>CHOOSE(Drivers!$C$3,'GP automotive'!M23,'GP automotive'!M31,'GP automotive'!M39)</f>
        <v>0.19216312852565895</v>
      </c>
      <c r="N15" s="94">
        <f>CHOOSE(Drivers!$C$3,'GP automotive'!N23,'GP automotive'!N31,'GP automotive'!N39)</f>
        <v>0.19216312852565895</v>
      </c>
      <c r="O15" s="94">
        <f>CHOOSE(Drivers!$C$3,'GP automotive'!O23,'GP automotive'!O31,'GP automotive'!O39)</f>
        <v>0.19216312852565895</v>
      </c>
      <c r="P15" s="94">
        <f>CHOOSE(Drivers!$C$3,'GP automotive'!P23,'GP automotive'!P31,'GP automotive'!P39)</f>
        <v>0.19216312852565895</v>
      </c>
      <c r="Q15" s="94">
        <f>CHOOSE(Drivers!$C$3,'GP automotive'!Q23,'GP automotive'!Q31,'GP automotive'!Q39)</f>
        <v>0.19216312852565895</v>
      </c>
      <c r="R15" s="94">
        <f>CHOOSE(Drivers!$C$3,'GP automotive'!R23,'GP automotive'!R31,'GP automotive'!R39)</f>
        <v>0.19216312852565895</v>
      </c>
      <c r="S15" s="94">
        <f>CHOOSE(Drivers!$C$3,'GP automotive'!S23,'GP automotive'!S31,'GP automotive'!S39)</f>
        <v>0.19216312852565895</v>
      </c>
    </row>
    <row r="16" spans="1:19" x14ac:dyDescent="0.25">
      <c r="B16" s="92" t="s">
        <v>176</v>
      </c>
      <c r="C16" s="95"/>
      <c r="D16" s="95"/>
      <c r="E16" s="95"/>
      <c r="F16" s="95"/>
      <c r="G16" s="94">
        <f>CHOOSE(Drivers!$C$3,'GP automotive'!G24,'GP automotive'!G32,'GP automotive'!G40)</f>
        <v>0.19216312852565895</v>
      </c>
      <c r="H16" s="94">
        <f>CHOOSE(Drivers!$C$3,'GP automotive'!H24,'GP automotive'!H32,'GP automotive'!H40)</f>
        <v>0.19216312852565895</v>
      </c>
      <c r="I16" s="94">
        <f>CHOOSE(Drivers!$C$3,'GP automotive'!I24,'GP automotive'!I32,'GP automotive'!I40)</f>
        <v>0.19216312852565895</v>
      </c>
      <c r="J16" s="94">
        <f>CHOOSE(Drivers!$C$3,'GP automotive'!J24,'GP automotive'!J32,'GP automotive'!J40)</f>
        <v>0.19216312852565895</v>
      </c>
      <c r="K16" s="94">
        <f>CHOOSE(Drivers!$C$3,'GP automotive'!K24,'GP automotive'!K32,'GP automotive'!K40)</f>
        <v>0.19216312852565895</v>
      </c>
      <c r="L16" s="94">
        <f>CHOOSE(Drivers!$C$3,'GP automotive'!L24,'GP automotive'!L32,'GP automotive'!L40)</f>
        <v>0.19216312852565895</v>
      </c>
      <c r="M16" s="94">
        <f>CHOOSE(Drivers!$C$3,'GP automotive'!M24,'GP automotive'!M32,'GP automotive'!M40)</f>
        <v>0.19216312852565895</v>
      </c>
      <c r="N16" s="94">
        <f>CHOOSE(Drivers!$C$3,'GP automotive'!N24,'GP automotive'!N32,'GP automotive'!N40)</f>
        <v>0.19216312852565895</v>
      </c>
      <c r="O16" s="94">
        <f>CHOOSE(Drivers!$C$3,'GP automotive'!O24,'GP automotive'!O32,'GP automotive'!O40)</f>
        <v>0.19216312852565895</v>
      </c>
      <c r="P16" s="94">
        <f>CHOOSE(Drivers!$C$3,'GP automotive'!P24,'GP automotive'!P32,'GP automotive'!P40)</f>
        <v>0.19216312852565895</v>
      </c>
      <c r="Q16" s="94">
        <f>CHOOSE(Drivers!$C$3,'GP automotive'!Q24,'GP automotive'!Q32,'GP automotive'!Q40)</f>
        <v>0.19216312852565895</v>
      </c>
      <c r="R16" s="94">
        <f>CHOOSE(Drivers!$C$3,'GP automotive'!R24,'GP automotive'!R32,'GP automotive'!R40)</f>
        <v>0.19216312852565895</v>
      </c>
      <c r="S16" s="94">
        <f>CHOOSE(Drivers!$C$3,'GP automotive'!S24,'GP automotive'!S32,'GP automotive'!S40)</f>
        <v>0.19216312852565895</v>
      </c>
    </row>
    <row r="17" spans="2:19" x14ac:dyDescent="0.25">
      <c r="B17" s="92" t="s">
        <v>178</v>
      </c>
      <c r="C17" s="95"/>
      <c r="D17" s="95"/>
      <c r="E17" s="95"/>
      <c r="F17" s="95"/>
      <c r="G17" s="94">
        <f>CHOOSE(Drivers!$C$3,'GP automotive'!G25,'GP automotive'!G33,'GP automotive'!G41)</f>
        <v>0.39313618860356131</v>
      </c>
      <c r="H17" s="94">
        <f>CHOOSE(Drivers!$C$3,'GP automotive'!H25,'GP automotive'!H33,'GP automotive'!H41)</f>
        <v>0.39313618860356131</v>
      </c>
      <c r="I17" s="94">
        <f>CHOOSE(Drivers!$C$3,'GP automotive'!I25,'GP automotive'!I33,'GP automotive'!I41)</f>
        <v>0.39313618860356131</v>
      </c>
      <c r="J17" s="94">
        <f>CHOOSE(Drivers!$C$3,'GP automotive'!J25,'GP automotive'!J33,'GP automotive'!J41)</f>
        <v>0.39313618860356131</v>
      </c>
      <c r="K17" s="94">
        <f>CHOOSE(Drivers!$C$3,'GP automotive'!K25,'GP automotive'!K33,'GP automotive'!K41)</f>
        <v>0.39313618860356131</v>
      </c>
      <c r="L17" s="94">
        <f>CHOOSE(Drivers!$C$3,'GP automotive'!L25,'GP automotive'!L33,'GP automotive'!L41)</f>
        <v>0.39313618860356131</v>
      </c>
      <c r="M17" s="94">
        <f>CHOOSE(Drivers!$C$3,'GP automotive'!M25,'GP automotive'!M33,'GP automotive'!M41)</f>
        <v>0.39313618860356131</v>
      </c>
      <c r="N17" s="94">
        <f>CHOOSE(Drivers!$C$3,'GP automotive'!N25,'GP automotive'!N33,'GP automotive'!N41)</f>
        <v>0.39313618860356131</v>
      </c>
      <c r="O17" s="94">
        <f>CHOOSE(Drivers!$C$3,'GP automotive'!O25,'GP automotive'!O33,'GP automotive'!O41)</f>
        <v>0.39313618860356131</v>
      </c>
      <c r="P17" s="94">
        <f>CHOOSE(Drivers!$C$3,'GP automotive'!P25,'GP automotive'!P33,'GP automotive'!P41)</f>
        <v>0.39313618860356131</v>
      </c>
      <c r="Q17" s="94">
        <f>CHOOSE(Drivers!$C$3,'GP automotive'!Q25,'GP automotive'!Q33,'GP automotive'!Q41)</f>
        <v>0.39313618860356131</v>
      </c>
      <c r="R17" s="94">
        <f>CHOOSE(Drivers!$C$3,'GP automotive'!R25,'GP automotive'!R33,'GP automotive'!R41)</f>
        <v>0.39313618860356131</v>
      </c>
      <c r="S17" s="94">
        <f>CHOOSE(Drivers!$C$3,'GP automotive'!S25,'GP automotive'!S33,'GP automotive'!S41)</f>
        <v>0.39313618860356131</v>
      </c>
    </row>
    <row r="18" spans="2:19" x14ac:dyDescent="0.25">
      <c r="B18" s="92" t="s">
        <v>177</v>
      </c>
      <c r="C18" s="95"/>
      <c r="D18" s="95"/>
      <c r="E18" s="95"/>
      <c r="F18" s="95"/>
      <c r="G18" s="94">
        <f>CHOOSE(Drivers!$C$3,'GP automotive'!G26,'GP automotive'!G34,'GP automotive'!G42)</f>
        <v>0.12377549275432535</v>
      </c>
      <c r="H18" s="94">
        <f>CHOOSE(Drivers!$C$3,'GP automotive'!H26,'GP automotive'!H34,'GP automotive'!H42)</f>
        <v>0.12377549275432535</v>
      </c>
      <c r="I18" s="94">
        <f>CHOOSE(Drivers!$C$3,'GP automotive'!I26,'GP automotive'!I34,'GP automotive'!I42)</f>
        <v>0.12377549275432535</v>
      </c>
      <c r="J18" s="94">
        <f>CHOOSE(Drivers!$C$3,'GP automotive'!J26,'GP automotive'!J34,'GP automotive'!J42)</f>
        <v>0.12377549275432535</v>
      </c>
      <c r="K18" s="94">
        <f>CHOOSE(Drivers!$C$3,'GP automotive'!K26,'GP automotive'!K34,'GP automotive'!K42)</f>
        <v>0.12377549275432535</v>
      </c>
      <c r="L18" s="94">
        <f>CHOOSE(Drivers!$C$3,'GP automotive'!L26,'GP automotive'!L34,'GP automotive'!L42)</f>
        <v>0.12377549275432535</v>
      </c>
      <c r="M18" s="94">
        <f>CHOOSE(Drivers!$C$3,'GP automotive'!M26,'GP automotive'!M34,'GP automotive'!M42)</f>
        <v>0.12377549275432535</v>
      </c>
      <c r="N18" s="94">
        <f>CHOOSE(Drivers!$C$3,'GP automotive'!N26,'GP automotive'!N34,'GP automotive'!N42)</f>
        <v>0.12377549275432535</v>
      </c>
      <c r="O18" s="94">
        <f>CHOOSE(Drivers!$C$3,'GP automotive'!O26,'GP automotive'!O34,'GP automotive'!O42)</f>
        <v>0.12377549275432535</v>
      </c>
      <c r="P18" s="94">
        <f>CHOOSE(Drivers!$C$3,'GP automotive'!P26,'GP automotive'!P34,'GP automotive'!P42)</f>
        <v>0.12377549275432535</v>
      </c>
      <c r="Q18" s="94">
        <f>CHOOSE(Drivers!$C$3,'GP automotive'!Q26,'GP automotive'!Q34,'GP automotive'!Q42)</f>
        <v>0.12377549275432535</v>
      </c>
      <c r="R18" s="94">
        <f>CHOOSE(Drivers!$C$3,'GP automotive'!R26,'GP automotive'!R34,'GP automotive'!R42)</f>
        <v>0.12377549275432535</v>
      </c>
      <c r="S18" s="94">
        <f>CHOOSE(Drivers!$C$3,'GP automotive'!S26,'GP automotive'!S34,'GP automotive'!S42)</f>
        <v>0.12377549275432535</v>
      </c>
    </row>
    <row r="19" spans="2:19" x14ac:dyDescent="0.25">
      <c r="B19" s="92" t="s">
        <v>174</v>
      </c>
      <c r="C19" s="95"/>
      <c r="D19" s="95"/>
      <c r="E19" s="95"/>
      <c r="F19" s="95"/>
      <c r="G19" s="94">
        <f>CHOOSE(Drivers!$C$3,'GP automotive'!G27,'GP automotive'!G35,'GP automotive'!G43)</f>
        <v>0.19168817457726836</v>
      </c>
      <c r="H19" s="94">
        <f>CHOOSE(Drivers!$C$3,'GP automotive'!H27,'GP automotive'!H35,'GP automotive'!H43)</f>
        <v>0.19168817457726836</v>
      </c>
      <c r="I19" s="94">
        <f>CHOOSE(Drivers!$C$3,'GP automotive'!I27,'GP automotive'!I35,'GP automotive'!I43)</f>
        <v>0.19168817457726836</v>
      </c>
      <c r="J19" s="94">
        <f>CHOOSE(Drivers!$C$3,'GP automotive'!J27,'GP automotive'!J35,'GP automotive'!J43)</f>
        <v>0.19168817457726836</v>
      </c>
      <c r="K19" s="94">
        <f>CHOOSE(Drivers!$C$3,'GP automotive'!K27,'GP automotive'!K35,'GP automotive'!K43)</f>
        <v>0.19168817457726836</v>
      </c>
      <c r="L19" s="94">
        <f>CHOOSE(Drivers!$C$3,'GP automotive'!L27,'GP automotive'!L35,'GP automotive'!L43)</f>
        <v>0.19168817457726836</v>
      </c>
      <c r="M19" s="94">
        <f>CHOOSE(Drivers!$C$3,'GP automotive'!M27,'GP automotive'!M35,'GP automotive'!M43)</f>
        <v>0.19168817457726836</v>
      </c>
      <c r="N19" s="94">
        <f>CHOOSE(Drivers!$C$3,'GP automotive'!N27,'GP automotive'!N35,'GP automotive'!N43)</f>
        <v>0.19168817457726836</v>
      </c>
      <c r="O19" s="94">
        <f>CHOOSE(Drivers!$C$3,'GP automotive'!O27,'GP automotive'!O35,'GP automotive'!O43)</f>
        <v>0.19168817457726836</v>
      </c>
      <c r="P19" s="94">
        <f>CHOOSE(Drivers!$C$3,'GP automotive'!P27,'GP automotive'!P35,'GP automotive'!P43)</f>
        <v>0.19168817457726836</v>
      </c>
      <c r="Q19" s="94">
        <f>CHOOSE(Drivers!$C$3,'GP automotive'!Q27,'GP automotive'!Q35,'GP automotive'!Q43)</f>
        <v>0.19168817457726836</v>
      </c>
      <c r="R19" s="94">
        <f>CHOOSE(Drivers!$C$3,'GP automotive'!R27,'GP automotive'!R35,'GP automotive'!R43)</f>
        <v>0.19168817457726836</v>
      </c>
      <c r="S19" s="94">
        <f>CHOOSE(Drivers!$C$3,'GP automotive'!S27,'GP automotive'!S35,'GP automotive'!S43)</f>
        <v>0.19168817457726836</v>
      </c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175</v>
      </c>
      <c r="C22" s="95"/>
      <c r="D22" s="95"/>
      <c r="E22" s="95"/>
      <c r="F22" s="95"/>
      <c r="G22" s="94">
        <f>G30+1.5%</f>
        <v>0.13877549275432535</v>
      </c>
      <c r="H22" s="94">
        <f t="shared" ref="H22:S22" si="3">H30+1.5%</f>
        <v>0.13877549275432535</v>
      </c>
      <c r="I22" s="94">
        <f t="shared" si="3"/>
        <v>0.13877549275432535</v>
      </c>
      <c r="J22" s="94">
        <f t="shared" si="3"/>
        <v>0.13877549275432535</v>
      </c>
      <c r="K22" s="94">
        <f t="shared" si="3"/>
        <v>0.13877549275432535</v>
      </c>
      <c r="L22" s="94">
        <f t="shared" si="3"/>
        <v>0.13877549275432535</v>
      </c>
      <c r="M22" s="94">
        <f t="shared" si="3"/>
        <v>0.13877549275432535</v>
      </c>
      <c r="N22" s="94">
        <f t="shared" si="3"/>
        <v>0.13877549275432535</v>
      </c>
      <c r="O22" s="94">
        <f t="shared" si="3"/>
        <v>0.13877549275432535</v>
      </c>
      <c r="P22" s="94">
        <f t="shared" si="3"/>
        <v>0.13877549275432535</v>
      </c>
      <c r="Q22" s="94">
        <f t="shared" si="3"/>
        <v>0.13877549275432535</v>
      </c>
      <c r="R22" s="94">
        <f t="shared" si="3"/>
        <v>0.13877549275432535</v>
      </c>
      <c r="S22" s="94">
        <f t="shared" si="3"/>
        <v>0.13877549275432535</v>
      </c>
    </row>
    <row r="23" spans="2:19" x14ac:dyDescent="0.25">
      <c r="B23" s="92" t="s">
        <v>181</v>
      </c>
      <c r="C23" s="95"/>
      <c r="D23" s="79"/>
      <c r="E23" s="79"/>
      <c r="F23" s="79"/>
      <c r="G23" s="94">
        <f t="shared" ref="G23:S23" si="4">G31+1.5%</f>
        <v>0.20716312852565893</v>
      </c>
      <c r="H23" s="94">
        <f t="shared" si="4"/>
        <v>0.20716312852565893</v>
      </c>
      <c r="I23" s="94">
        <f t="shared" si="4"/>
        <v>0.20716312852565893</v>
      </c>
      <c r="J23" s="94">
        <f t="shared" si="4"/>
        <v>0.20716312852565893</v>
      </c>
      <c r="K23" s="94">
        <f t="shared" si="4"/>
        <v>0.20716312852565893</v>
      </c>
      <c r="L23" s="94">
        <f t="shared" si="4"/>
        <v>0.20716312852565893</v>
      </c>
      <c r="M23" s="94">
        <f t="shared" si="4"/>
        <v>0.20716312852565893</v>
      </c>
      <c r="N23" s="94">
        <f t="shared" si="4"/>
        <v>0.20716312852565893</v>
      </c>
      <c r="O23" s="94">
        <f t="shared" si="4"/>
        <v>0.20716312852565893</v>
      </c>
      <c r="P23" s="94">
        <f t="shared" si="4"/>
        <v>0.20716312852565893</v>
      </c>
      <c r="Q23" s="94">
        <f t="shared" si="4"/>
        <v>0.20716312852565893</v>
      </c>
      <c r="R23" s="94">
        <f t="shared" si="4"/>
        <v>0.20716312852565893</v>
      </c>
      <c r="S23" s="94">
        <f t="shared" si="4"/>
        <v>0.20716312852565893</v>
      </c>
    </row>
    <row r="24" spans="2:19" x14ac:dyDescent="0.25">
      <c r="B24" s="92" t="s">
        <v>176</v>
      </c>
      <c r="C24" s="95"/>
      <c r="D24" s="95"/>
      <c r="E24" s="95"/>
      <c r="F24" s="95"/>
      <c r="G24" s="94">
        <f t="shared" ref="G24:S24" si="5">G32+1.5%</f>
        <v>0.20716312852565893</v>
      </c>
      <c r="H24" s="94">
        <f t="shared" si="5"/>
        <v>0.20716312852565893</v>
      </c>
      <c r="I24" s="94">
        <f t="shared" si="5"/>
        <v>0.20716312852565893</v>
      </c>
      <c r="J24" s="94">
        <f t="shared" si="5"/>
        <v>0.20716312852565893</v>
      </c>
      <c r="K24" s="94">
        <f t="shared" si="5"/>
        <v>0.20716312852565893</v>
      </c>
      <c r="L24" s="94">
        <f t="shared" si="5"/>
        <v>0.20716312852565893</v>
      </c>
      <c r="M24" s="94">
        <f t="shared" si="5"/>
        <v>0.20716312852565893</v>
      </c>
      <c r="N24" s="94">
        <f t="shared" si="5"/>
        <v>0.20716312852565893</v>
      </c>
      <c r="O24" s="94">
        <f t="shared" si="5"/>
        <v>0.20716312852565893</v>
      </c>
      <c r="P24" s="94">
        <f t="shared" si="5"/>
        <v>0.20716312852565893</v>
      </c>
      <c r="Q24" s="94">
        <f t="shared" si="5"/>
        <v>0.20716312852565893</v>
      </c>
      <c r="R24" s="94">
        <f t="shared" si="5"/>
        <v>0.20716312852565893</v>
      </c>
      <c r="S24" s="94">
        <f t="shared" si="5"/>
        <v>0.20716312852565893</v>
      </c>
    </row>
    <row r="25" spans="2:19" x14ac:dyDescent="0.25">
      <c r="B25" s="92" t="s">
        <v>178</v>
      </c>
      <c r="C25" s="95"/>
      <c r="D25" s="95"/>
      <c r="E25" s="95"/>
      <c r="F25" s="95"/>
      <c r="G25" s="94">
        <f t="shared" ref="G25:S25" si="6">G33+1.5%</f>
        <v>0.40813618860356132</v>
      </c>
      <c r="H25" s="94">
        <f t="shared" si="6"/>
        <v>0.40813618860356132</v>
      </c>
      <c r="I25" s="94">
        <f t="shared" si="6"/>
        <v>0.40813618860356132</v>
      </c>
      <c r="J25" s="94">
        <f t="shared" si="6"/>
        <v>0.40813618860356132</v>
      </c>
      <c r="K25" s="94">
        <f t="shared" si="6"/>
        <v>0.40813618860356132</v>
      </c>
      <c r="L25" s="94">
        <f t="shared" si="6"/>
        <v>0.40813618860356132</v>
      </c>
      <c r="M25" s="94">
        <f t="shared" si="6"/>
        <v>0.40813618860356132</v>
      </c>
      <c r="N25" s="94">
        <f t="shared" si="6"/>
        <v>0.40813618860356132</v>
      </c>
      <c r="O25" s="94">
        <f t="shared" si="6"/>
        <v>0.40813618860356132</v>
      </c>
      <c r="P25" s="94">
        <f t="shared" si="6"/>
        <v>0.40813618860356132</v>
      </c>
      <c r="Q25" s="94">
        <f t="shared" si="6"/>
        <v>0.40813618860356132</v>
      </c>
      <c r="R25" s="94">
        <f t="shared" si="6"/>
        <v>0.40813618860356132</v>
      </c>
      <c r="S25" s="94">
        <f t="shared" si="6"/>
        <v>0.40813618860356132</v>
      </c>
    </row>
    <row r="26" spans="2:19" x14ac:dyDescent="0.25">
      <c r="B26" s="92" t="s">
        <v>177</v>
      </c>
      <c r="C26" s="95"/>
      <c r="D26" s="95"/>
      <c r="E26" s="95"/>
      <c r="F26" s="95"/>
      <c r="G26" s="94">
        <f t="shared" ref="G26:S26" si="7">G34+1.5%</f>
        <v>0.13877549275432535</v>
      </c>
      <c r="H26" s="94">
        <f t="shared" si="7"/>
        <v>0.13877549275432535</v>
      </c>
      <c r="I26" s="94">
        <f t="shared" si="7"/>
        <v>0.13877549275432535</v>
      </c>
      <c r="J26" s="94">
        <f t="shared" si="7"/>
        <v>0.13877549275432535</v>
      </c>
      <c r="K26" s="94">
        <f t="shared" si="7"/>
        <v>0.13877549275432535</v>
      </c>
      <c r="L26" s="94">
        <f t="shared" si="7"/>
        <v>0.13877549275432535</v>
      </c>
      <c r="M26" s="94">
        <f t="shared" si="7"/>
        <v>0.13877549275432535</v>
      </c>
      <c r="N26" s="94">
        <f t="shared" si="7"/>
        <v>0.13877549275432535</v>
      </c>
      <c r="O26" s="94">
        <f t="shared" si="7"/>
        <v>0.13877549275432535</v>
      </c>
      <c r="P26" s="94">
        <f t="shared" si="7"/>
        <v>0.13877549275432535</v>
      </c>
      <c r="Q26" s="94">
        <f t="shared" si="7"/>
        <v>0.13877549275432535</v>
      </c>
      <c r="R26" s="94">
        <f t="shared" si="7"/>
        <v>0.13877549275432535</v>
      </c>
      <c r="S26" s="94">
        <f t="shared" si="7"/>
        <v>0.13877549275432535</v>
      </c>
    </row>
    <row r="27" spans="2:19" x14ac:dyDescent="0.25">
      <c r="B27" s="92" t="s">
        <v>174</v>
      </c>
      <c r="C27" s="95"/>
      <c r="D27" s="95"/>
      <c r="E27" s="95"/>
      <c r="F27" s="95"/>
      <c r="G27" s="94">
        <f t="shared" ref="G27:S27" si="8">G35+1.5%</f>
        <v>0.20668817457726835</v>
      </c>
      <c r="H27" s="94">
        <f t="shared" si="8"/>
        <v>0.20668817457726835</v>
      </c>
      <c r="I27" s="94">
        <f t="shared" si="8"/>
        <v>0.20668817457726835</v>
      </c>
      <c r="J27" s="94">
        <f t="shared" si="8"/>
        <v>0.20668817457726835</v>
      </c>
      <c r="K27" s="94">
        <f t="shared" si="8"/>
        <v>0.20668817457726835</v>
      </c>
      <c r="L27" s="94">
        <f t="shared" si="8"/>
        <v>0.20668817457726835</v>
      </c>
      <c r="M27" s="94">
        <f t="shared" si="8"/>
        <v>0.20668817457726835</v>
      </c>
      <c r="N27" s="94">
        <f t="shared" si="8"/>
        <v>0.20668817457726835</v>
      </c>
      <c r="O27" s="94">
        <f t="shared" si="8"/>
        <v>0.20668817457726835</v>
      </c>
      <c r="P27" s="94">
        <f t="shared" si="8"/>
        <v>0.20668817457726835</v>
      </c>
      <c r="Q27" s="94">
        <f t="shared" si="8"/>
        <v>0.20668817457726835</v>
      </c>
      <c r="R27" s="94">
        <f t="shared" si="8"/>
        <v>0.20668817457726835</v>
      </c>
      <c r="S27" s="94">
        <f t="shared" si="8"/>
        <v>0.20668817457726835</v>
      </c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175</v>
      </c>
      <c r="C30" s="95"/>
      <c r="D30" s="95"/>
      <c r="E30" s="95"/>
      <c r="F30" s="95"/>
      <c r="G30" s="94">
        <f>'GP% automotive'!$H6</f>
        <v>0.12377549275432535</v>
      </c>
      <c r="H30" s="94">
        <f>'GP% automotive'!$H6</f>
        <v>0.12377549275432535</v>
      </c>
      <c r="I30" s="94">
        <f>'GP% automotive'!$H6</f>
        <v>0.12377549275432535</v>
      </c>
      <c r="J30" s="94">
        <f>'GP% automotive'!$H6</f>
        <v>0.12377549275432535</v>
      </c>
      <c r="K30" s="94">
        <f>'GP% automotive'!$H6</f>
        <v>0.12377549275432535</v>
      </c>
      <c r="L30" s="94">
        <f>'GP% automotive'!$H6</f>
        <v>0.12377549275432535</v>
      </c>
      <c r="M30" s="94">
        <f>'GP% automotive'!$H6</f>
        <v>0.12377549275432535</v>
      </c>
      <c r="N30" s="94">
        <f>'GP% automotive'!$H6</f>
        <v>0.12377549275432535</v>
      </c>
      <c r="O30" s="94">
        <f>'GP% automotive'!$H6</f>
        <v>0.12377549275432535</v>
      </c>
      <c r="P30" s="94">
        <f>'GP% automotive'!$H6</f>
        <v>0.12377549275432535</v>
      </c>
      <c r="Q30" s="94">
        <f>'GP% automotive'!$H6</f>
        <v>0.12377549275432535</v>
      </c>
      <c r="R30" s="94">
        <f>'GP% automotive'!$H6</f>
        <v>0.12377549275432535</v>
      </c>
      <c r="S30" s="94">
        <f>'GP% automotive'!$H6</f>
        <v>0.12377549275432535</v>
      </c>
    </row>
    <row r="31" spans="2:19" x14ac:dyDescent="0.25">
      <c r="B31" s="92" t="s">
        <v>181</v>
      </c>
      <c r="C31" s="95"/>
      <c r="D31" s="79"/>
      <c r="E31" s="79"/>
      <c r="F31" s="79"/>
      <c r="G31" s="94">
        <f>'GP% automotive'!$H7</f>
        <v>0.19216312852565895</v>
      </c>
      <c r="H31" s="94">
        <f>'GP% automotive'!$H7</f>
        <v>0.19216312852565895</v>
      </c>
      <c r="I31" s="94">
        <f>'GP% automotive'!$H7</f>
        <v>0.19216312852565895</v>
      </c>
      <c r="J31" s="94">
        <f>'GP% automotive'!$H7</f>
        <v>0.19216312852565895</v>
      </c>
      <c r="K31" s="94">
        <f>'GP% automotive'!$H7</f>
        <v>0.19216312852565895</v>
      </c>
      <c r="L31" s="94">
        <f>'GP% automotive'!$H7</f>
        <v>0.19216312852565895</v>
      </c>
      <c r="M31" s="94">
        <f>'GP% automotive'!$H7</f>
        <v>0.19216312852565895</v>
      </c>
      <c r="N31" s="94">
        <f>'GP% automotive'!$H7</f>
        <v>0.19216312852565895</v>
      </c>
      <c r="O31" s="94">
        <f>'GP% automotive'!$H7</f>
        <v>0.19216312852565895</v>
      </c>
      <c r="P31" s="94">
        <f>'GP% automotive'!$H7</f>
        <v>0.19216312852565895</v>
      </c>
      <c r="Q31" s="94">
        <f>'GP% automotive'!$H7</f>
        <v>0.19216312852565895</v>
      </c>
      <c r="R31" s="94">
        <f>'GP% automotive'!$H7</f>
        <v>0.19216312852565895</v>
      </c>
      <c r="S31" s="94">
        <f>'GP% automotive'!$H7</f>
        <v>0.19216312852565895</v>
      </c>
    </row>
    <row r="32" spans="2:19" x14ac:dyDescent="0.25">
      <c r="B32" s="92" t="s">
        <v>176</v>
      </c>
      <c r="C32" s="95"/>
      <c r="D32" s="95"/>
      <c r="E32" s="95"/>
      <c r="F32" s="95"/>
      <c r="G32" s="94">
        <f>'GP% automotive'!$H8</f>
        <v>0.19216312852565895</v>
      </c>
      <c r="H32" s="94">
        <f>'GP% automotive'!$H8</f>
        <v>0.19216312852565895</v>
      </c>
      <c r="I32" s="94">
        <f>'GP% automotive'!$H8</f>
        <v>0.19216312852565895</v>
      </c>
      <c r="J32" s="94">
        <f>'GP% automotive'!$H8</f>
        <v>0.19216312852565895</v>
      </c>
      <c r="K32" s="94">
        <f>'GP% automotive'!$H8</f>
        <v>0.19216312852565895</v>
      </c>
      <c r="L32" s="94">
        <f>'GP% automotive'!$H8</f>
        <v>0.19216312852565895</v>
      </c>
      <c r="M32" s="94">
        <f>'GP% automotive'!$H8</f>
        <v>0.19216312852565895</v>
      </c>
      <c r="N32" s="94">
        <f>'GP% automotive'!$H8</f>
        <v>0.19216312852565895</v>
      </c>
      <c r="O32" s="94">
        <f>'GP% automotive'!$H8</f>
        <v>0.19216312852565895</v>
      </c>
      <c r="P32" s="94">
        <f>'GP% automotive'!$H8</f>
        <v>0.19216312852565895</v>
      </c>
      <c r="Q32" s="94">
        <f>'GP% automotive'!$H8</f>
        <v>0.19216312852565895</v>
      </c>
      <c r="R32" s="94">
        <f>'GP% automotive'!$H8</f>
        <v>0.19216312852565895</v>
      </c>
      <c r="S32" s="94">
        <f>'GP% automotive'!$H8</f>
        <v>0.19216312852565895</v>
      </c>
    </row>
    <row r="33" spans="2:19" x14ac:dyDescent="0.25">
      <c r="B33" s="92" t="s">
        <v>178</v>
      </c>
      <c r="C33" s="95"/>
      <c r="D33" s="95"/>
      <c r="E33" s="95"/>
      <c r="F33" s="95"/>
      <c r="G33" s="94">
        <f>'GP% automotive'!$H9</f>
        <v>0.39313618860356131</v>
      </c>
      <c r="H33" s="94">
        <f>'GP% automotive'!$H9</f>
        <v>0.39313618860356131</v>
      </c>
      <c r="I33" s="94">
        <f>'GP% automotive'!$H9</f>
        <v>0.39313618860356131</v>
      </c>
      <c r="J33" s="94">
        <f>'GP% automotive'!$H9</f>
        <v>0.39313618860356131</v>
      </c>
      <c r="K33" s="94">
        <f>'GP% automotive'!$H9</f>
        <v>0.39313618860356131</v>
      </c>
      <c r="L33" s="94">
        <f>'GP% automotive'!$H9</f>
        <v>0.39313618860356131</v>
      </c>
      <c r="M33" s="94">
        <f>'GP% automotive'!$H9</f>
        <v>0.39313618860356131</v>
      </c>
      <c r="N33" s="94">
        <f>'GP% automotive'!$H9</f>
        <v>0.39313618860356131</v>
      </c>
      <c r="O33" s="94">
        <f>'GP% automotive'!$H9</f>
        <v>0.39313618860356131</v>
      </c>
      <c r="P33" s="94">
        <f>'GP% automotive'!$H9</f>
        <v>0.39313618860356131</v>
      </c>
      <c r="Q33" s="94">
        <f>'GP% automotive'!$H9</f>
        <v>0.39313618860356131</v>
      </c>
      <c r="R33" s="94">
        <f>'GP% automotive'!$H9</f>
        <v>0.39313618860356131</v>
      </c>
      <c r="S33" s="94">
        <f>'GP% automotive'!$H9</f>
        <v>0.39313618860356131</v>
      </c>
    </row>
    <row r="34" spans="2:19" x14ac:dyDescent="0.25">
      <c r="B34" s="92" t="s">
        <v>177</v>
      </c>
      <c r="C34" s="95"/>
      <c r="D34" s="95"/>
      <c r="E34" s="95"/>
      <c r="F34" s="95"/>
      <c r="G34" s="94">
        <f>'GP% automotive'!$H10</f>
        <v>0.12377549275432535</v>
      </c>
      <c r="H34" s="94">
        <f>'GP% automotive'!$H10</f>
        <v>0.12377549275432535</v>
      </c>
      <c r="I34" s="94">
        <f>'GP% automotive'!$H10</f>
        <v>0.12377549275432535</v>
      </c>
      <c r="J34" s="94">
        <f>'GP% automotive'!$H10</f>
        <v>0.12377549275432535</v>
      </c>
      <c r="K34" s="94">
        <f>'GP% automotive'!$H10</f>
        <v>0.12377549275432535</v>
      </c>
      <c r="L34" s="94">
        <f>'GP% automotive'!$H10</f>
        <v>0.12377549275432535</v>
      </c>
      <c r="M34" s="94">
        <f>'GP% automotive'!$H10</f>
        <v>0.12377549275432535</v>
      </c>
      <c r="N34" s="94">
        <f>'GP% automotive'!$H10</f>
        <v>0.12377549275432535</v>
      </c>
      <c r="O34" s="94">
        <f>'GP% automotive'!$H10</f>
        <v>0.12377549275432535</v>
      </c>
      <c r="P34" s="94">
        <f>'GP% automotive'!$H10</f>
        <v>0.12377549275432535</v>
      </c>
      <c r="Q34" s="94">
        <f>'GP% automotive'!$H10</f>
        <v>0.12377549275432535</v>
      </c>
      <c r="R34" s="94">
        <f>'GP% automotive'!$H10</f>
        <v>0.12377549275432535</v>
      </c>
      <c r="S34" s="94">
        <f>'GP% automotive'!$H10</f>
        <v>0.12377549275432535</v>
      </c>
    </row>
    <row r="35" spans="2:19" x14ac:dyDescent="0.25">
      <c r="B35" s="92" t="s">
        <v>174</v>
      </c>
      <c r="C35" s="95"/>
      <c r="D35" s="95"/>
      <c r="E35" s="95"/>
      <c r="F35" s="95"/>
      <c r="G35" s="94">
        <f>'GP% automotive'!$H11</f>
        <v>0.19168817457726836</v>
      </c>
      <c r="H35" s="94">
        <f>'GP% automotive'!$H11</f>
        <v>0.19168817457726836</v>
      </c>
      <c r="I35" s="94">
        <f>'GP% automotive'!$H11</f>
        <v>0.19168817457726836</v>
      </c>
      <c r="J35" s="94">
        <f>'GP% automotive'!$H11</f>
        <v>0.19168817457726836</v>
      </c>
      <c r="K35" s="94">
        <f>'GP% automotive'!$H11</f>
        <v>0.19168817457726836</v>
      </c>
      <c r="L35" s="94">
        <f>'GP% automotive'!$H11</f>
        <v>0.19168817457726836</v>
      </c>
      <c r="M35" s="94">
        <f>'GP% automotive'!$H11</f>
        <v>0.19168817457726836</v>
      </c>
      <c r="N35" s="94">
        <f>'GP% automotive'!$H11</f>
        <v>0.19168817457726836</v>
      </c>
      <c r="O35" s="94">
        <f>'GP% automotive'!$H11</f>
        <v>0.19168817457726836</v>
      </c>
      <c r="P35" s="94">
        <f>'GP% automotive'!$H11</f>
        <v>0.19168817457726836</v>
      </c>
      <c r="Q35" s="94">
        <f>'GP% automotive'!$H11</f>
        <v>0.19168817457726836</v>
      </c>
      <c r="R35" s="94">
        <f>'GP% automotive'!$H11</f>
        <v>0.19168817457726836</v>
      </c>
      <c r="S35" s="94">
        <f>'GP% automotive'!$H11</f>
        <v>0.19168817457726836</v>
      </c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175</v>
      </c>
      <c r="C38" s="95"/>
      <c r="D38" s="95"/>
      <c r="E38" s="95"/>
      <c r="F38" s="95"/>
      <c r="G38" s="94">
        <f>G30-1.5%</f>
        <v>0.10877549275432535</v>
      </c>
      <c r="H38" s="94">
        <f t="shared" ref="H38:S38" si="9">H30-1.5%</f>
        <v>0.10877549275432535</v>
      </c>
      <c r="I38" s="94">
        <f t="shared" si="9"/>
        <v>0.10877549275432535</v>
      </c>
      <c r="J38" s="94">
        <f t="shared" si="9"/>
        <v>0.10877549275432535</v>
      </c>
      <c r="K38" s="94">
        <f t="shared" si="9"/>
        <v>0.10877549275432535</v>
      </c>
      <c r="L38" s="94">
        <f t="shared" si="9"/>
        <v>0.10877549275432535</v>
      </c>
      <c r="M38" s="94">
        <f t="shared" si="9"/>
        <v>0.10877549275432535</v>
      </c>
      <c r="N38" s="94">
        <f t="shared" si="9"/>
        <v>0.10877549275432535</v>
      </c>
      <c r="O38" s="94">
        <f t="shared" si="9"/>
        <v>0.10877549275432535</v>
      </c>
      <c r="P38" s="94">
        <f t="shared" si="9"/>
        <v>0.10877549275432535</v>
      </c>
      <c r="Q38" s="94">
        <f t="shared" si="9"/>
        <v>0.10877549275432535</v>
      </c>
      <c r="R38" s="94">
        <f t="shared" si="9"/>
        <v>0.10877549275432535</v>
      </c>
      <c r="S38" s="94">
        <f t="shared" si="9"/>
        <v>0.10877549275432535</v>
      </c>
    </row>
    <row r="39" spans="2:19" x14ac:dyDescent="0.25">
      <c r="B39" s="92" t="s">
        <v>181</v>
      </c>
      <c r="C39" s="95"/>
      <c r="D39" s="79"/>
      <c r="E39" s="79"/>
      <c r="F39" s="79"/>
      <c r="G39" s="94">
        <f t="shared" ref="G39:S39" si="10">G31-1.5%</f>
        <v>0.17716312852565896</v>
      </c>
      <c r="H39" s="94">
        <f t="shared" si="10"/>
        <v>0.17716312852565896</v>
      </c>
      <c r="I39" s="94">
        <f t="shared" si="10"/>
        <v>0.17716312852565896</v>
      </c>
      <c r="J39" s="94">
        <f t="shared" si="10"/>
        <v>0.17716312852565896</v>
      </c>
      <c r="K39" s="94">
        <f t="shared" si="10"/>
        <v>0.17716312852565896</v>
      </c>
      <c r="L39" s="94">
        <f t="shared" si="10"/>
        <v>0.17716312852565896</v>
      </c>
      <c r="M39" s="94">
        <f t="shared" si="10"/>
        <v>0.17716312852565896</v>
      </c>
      <c r="N39" s="94">
        <f t="shared" si="10"/>
        <v>0.17716312852565896</v>
      </c>
      <c r="O39" s="94">
        <f t="shared" si="10"/>
        <v>0.17716312852565896</v>
      </c>
      <c r="P39" s="94">
        <f t="shared" si="10"/>
        <v>0.17716312852565896</v>
      </c>
      <c r="Q39" s="94">
        <f t="shared" si="10"/>
        <v>0.17716312852565896</v>
      </c>
      <c r="R39" s="94">
        <f t="shared" si="10"/>
        <v>0.17716312852565896</v>
      </c>
      <c r="S39" s="94">
        <f t="shared" si="10"/>
        <v>0.17716312852565896</v>
      </c>
    </row>
    <row r="40" spans="2:19" x14ac:dyDescent="0.25">
      <c r="B40" s="92" t="s">
        <v>176</v>
      </c>
      <c r="C40" s="95"/>
      <c r="D40" s="95"/>
      <c r="E40" s="95"/>
      <c r="F40" s="95"/>
      <c r="G40" s="94">
        <f t="shared" ref="G40:S40" si="11">G32-1.5%</f>
        <v>0.17716312852565896</v>
      </c>
      <c r="H40" s="94">
        <f t="shared" si="11"/>
        <v>0.17716312852565896</v>
      </c>
      <c r="I40" s="94">
        <f t="shared" si="11"/>
        <v>0.17716312852565896</v>
      </c>
      <c r="J40" s="94">
        <f t="shared" si="11"/>
        <v>0.17716312852565896</v>
      </c>
      <c r="K40" s="94">
        <f t="shared" si="11"/>
        <v>0.17716312852565896</v>
      </c>
      <c r="L40" s="94">
        <f t="shared" si="11"/>
        <v>0.17716312852565896</v>
      </c>
      <c r="M40" s="94">
        <f t="shared" si="11"/>
        <v>0.17716312852565896</v>
      </c>
      <c r="N40" s="94">
        <f t="shared" si="11"/>
        <v>0.17716312852565896</v>
      </c>
      <c r="O40" s="94">
        <f t="shared" si="11"/>
        <v>0.17716312852565896</v>
      </c>
      <c r="P40" s="94">
        <f t="shared" si="11"/>
        <v>0.17716312852565896</v>
      </c>
      <c r="Q40" s="94">
        <f t="shared" si="11"/>
        <v>0.17716312852565896</v>
      </c>
      <c r="R40" s="94">
        <f t="shared" si="11"/>
        <v>0.17716312852565896</v>
      </c>
      <c r="S40" s="94">
        <f t="shared" si="11"/>
        <v>0.17716312852565896</v>
      </c>
    </row>
    <row r="41" spans="2:19" x14ac:dyDescent="0.25">
      <c r="B41" s="92" t="s">
        <v>178</v>
      </c>
      <c r="C41" s="95"/>
      <c r="D41" s="95"/>
      <c r="E41" s="95"/>
      <c r="F41" s="95"/>
      <c r="G41" s="94">
        <f t="shared" ref="G41:S41" si="12">G33-1.5%</f>
        <v>0.3781361886035613</v>
      </c>
      <c r="H41" s="94">
        <f t="shared" si="12"/>
        <v>0.3781361886035613</v>
      </c>
      <c r="I41" s="94">
        <f t="shared" si="12"/>
        <v>0.3781361886035613</v>
      </c>
      <c r="J41" s="94">
        <f t="shared" si="12"/>
        <v>0.3781361886035613</v>
      </c>
      <c r="K41" s="94">
        <f t="shared" si="12"/>
        <v>0.3781361886035613</v>
      </c>
      <c r="L41" s="94">
        <f t="shared" si="12"/>
        <v>0.3781361886035613</v>
      </c>
      <c r="M41" s="94">
        <f t="shared" si="12"/>
        <v>0.3781361886035613</v>
      </c>
      <c r="N41" s="94">
        <f t="shared" si="12"/>
        <v>0.3781361886035613</v>
      </c>
      <c r="O41" s="94">
        <f t="shared" si="12"/>
        <v>0.3781361886035613</v>
      </c>
      <c r="P41" s="94">
        <f t="shared" si="12"/>
        <v>0.3781361886035613</v>
      </c>
      <c r="Q41" s="94">
        <f t="shared" si="12"/>
        <v>0.3781361886035613</v>
      </c>
      <c r="R41" s="94">
        <f t="shared" si="12"/>
        <v>0.3781361886035613</v>
      </c>
      <c r="S41" s="94">
        <f t="shared" si="12"/>
        <v>0.3781361886035613</v>
      </c>
    </row>
    <row r="42" spans="2:19" x14ac:dyDescent="0.25">
      <c r="B42" s="92" t="s">
        <v>177</v>
      </c>
      <c r="C42" s="95"/>
      <c r="D42" s="95"/>
      <c r="E42" s="95"/>
      <c r="F42" s="95"/>
      <c r="G42" s="94">
        <f t="shared" ref="G42:S42" si="13">G34-1.5%</f>
        <v>0.10877549275432535</v>
      </c>
      <c r="H42" s="94">
        <f t="shared" si="13"/>
        <v>0.10877549275432535</v>
      </c>
      <c r="I42" s="94">
        <f t="shared" si="13"/>
        <v>0.10877549275432535</v>
      </c>
      <c r="J42" s="94">
        <f t="shared" si="13"/>
        <v>0.10877549275432535</v>
      </c>
      <c r="K42" s="94">
        <f t="shared" si="13"/>
        <v>0.10877549275432535</v>
      </c>
      <c r="L42" s="94">
        <f t="shared" si="13"/>
        <v>0.10877549275432535</v>
      </c>
      <c r="M42" s="94">
        <f t="shared" si="13"/>
        <v>0.10877549275432535</v>
      </c>
      <c r="N42" s="94">
        <f t="shared" si="13"/>
        <v>0.10877549275432535</v>
      </c>
      <c r="O42" s="94">
        <f t="shared" si="13"/>
        <v>0.10877549275432535</v>
      </c>
      <c r="P42" s="94">
        <f t="shared" si="13"/>
        <v>0.10877549275432535</v>
      </c>
      <c r="Q42" s="94">
        <f t="shared" si="13"/>
        <v>0.10877549275432535</v>
      </c>
      <c r="R42" s="94">
        <f t="shared" si="13"/>
        <v>0.10877549275432535</v>
      </c>
      <c r="S42" s="94">
        <f t="shared" si="13"/>
        <v>0.10877549275432535</v>
      </c>
    </row>
    <row r="43" spans="2:19" x14ac:dyDescent="0.25">
      <c r="B43" s="92" t="s">
        <v>174</v>
      </c>
      <c r="C43" s="95"/>
      <c r="D43" s="95"/>
      <c r="E43" s="95"/>
      <c r="F43" s="95"/>
      <c r="G43" s="94">
        <f t="shared" ref="G43:S43" si="14">G35-1.5%</f>
        <v>0.17668817457726838</v>
      </c>
      <c r="H43" s="94">
        <f t="shared" si="14"/>
        <v>0.17668817457726838</v>
      </c>
      <c r="I43" s="94">
        <f t="shared" si="14"/>
        <v>0.17668817457726838</v>
      </c>
      <c r="J43" s="94">
        <f t="shared" si="14"/>
        <v>0.17668817457726838</v>
      </c>
      <c r="K43" s="94">
        <f t="shared" si="14"/>
        <v>0.17668817457726838</v>
      </c>
      <c r="L43" s="94">
        <f t="shared" si="14"/>
        <v>0.17668817457726838</v>
      </c>
      <c r="M43" s="94">
        <f t="shared" si="14"/>
        <v>0.17668817457726838</v>
      </c>
      <c r="N43" s="94">
        <f t="shared" si="14"/>
        <v>0.17668817457726838</v>
      </c>
      <c r="O43" s="94">
        <f t="shared" si="14"/>
        <v>0.17668817457726838</v>
      </c>
      <c r="P43" s="94">
        <f t="shared" si="14"/>
        <v>0.17668817457726838</v>
      </c>
      <c r="Q43" s="94">
        <f t="shared" si="14"/>
        <v>0.17668817457726838</v>
      </c>
      <c r="R43" s="94">
        <f t="shared" si="14"/>
        <v>0.17668817457726838</v>
      </c>
      <c r="S43" s="94">
        <f t="shared" si="14"/>
        <v>0.17668817457726838</v>
      </c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222</v>
      </c>
    </row>
    <row r="2" spans="1:19" ht="15.6" x14ac:dyDescent="0.25">
      <c r="A2" s="1"/>
      <c r="B2" s="2"/>
    </row>
    <row r="3" spans="1:19" ht="12" x14ac:dyDescent="0.25">
      <c r="C3" s="224" t="s">
        <v>364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-3827.3486476491071</v>
      </c>
      <c r="I5" s="74" t="s">
        <v>65</v>
      </c>
      <c r="J5" s="90">
        <f>-('Revenue automotive'!J5-'GP automotive'!J5)</f>
        <v>-9568.3716191227668</v>
      </c>
      <c r="K5" s="90">
        <f>-('Revenue automotive'!K5-'GP automotive'!K5)</f>
        <v>-15309.394590596428</v>
      </c>
      <c r="L5" s="90">
        <f>-('Revenue automotive'!L5-'GP automotive'!L5)</f>
        <v>-16840.334049656074</v>
      </c>
      <c r="M5" s="90">
        <f>-('Revenue automotive'!M5-'GP automotive'!M5)</f>
        <v>-18524.367454621679</v>
      </c>
      <c r="N5" s="90">
        <f>-('Revenue automotive'!N5-'GP automotive'!N5)</f>
        <v>-19450.585827352763</v>
      </c>
      <c r="O5" s="90">
        <f>-('Revenue automotive'!O5-'GP automotive'!O5)</f>
        <v>-20423.115118720405</v>
      </c>
      <c r="P5" s="90">
        <f>-('Revenue automotive'!P5-'GP automotive'!P5)</f>
        <v>-20831.577421094811</v>
      </c>
      <c r="Q5" s="90">
        <f>-('Revenue automotive'!Q5-'GP automotive'!Q5)</f>
        <v>-21248.208969516709</v>
      </c>
      <c r="R5" s="90">
        <f>-('Revenue automotive'!R5-'GP automotive'!R5)</f>
        <v>-21673.173148907044</v>
      </c>
      <c r="S5" s="90">
        <f>-('Revenue automotive'!S5-'GP automotive'!S5)</f>
        <v>-22106.636611885184</v>
      </c>
    </row>
    <row r="6" spans="1:19" x14ac:dyDescent="0.25">
      <c r="B6" s="8" t="s">
        <v>181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-3951.3320975988709</v>
      </c>
      <c r="I6" s="74" t="s">
        <v>65</v>
      </c>
      <c r="J6" s="90">
        <f>-('Revenue automotive'!J6-'GP automotive'!J6)</f>
        <v>-7209.9440779084944</v>
      </c>
      <c r="K6" s="90">
        <f>-('Revenue automotive'!K6-'GP automotive'!K6)</f>
        <v>-7354.1429594666643</v>
      </c>
      <c r="L6" s="90">
        <f>-('Revenue automotive'!L6-'GP automotive'!L6)</f>
        <v>-7501.2258186559966</v>
      </c>
      <c r="M6" s="90">
        <f>-('Revenue automotive'!M6-'GP automotive'!M6)</f>
        <v>-7651.2503350291172</v>
      </c>
      <c r="N6" s="90">
        <f>-('Revenue automotive'!N6-'GP automotive'!N6)</f>
        <v>-7804.2753417296999</v>
      </c>
      <c r="O6" s="90">
        <f>-('Revenue automotive'!O6-'GP automotive'!O6)</f>
        <v>-7960.3608485642953</v>
      </c>
      <c r="P6" s="90">
        <f>-('Revenue automotive'!P6-'GP automotive'!P6)</f>
        <v>-8119.5680655355791</v>
      </c>
      <c r="Q6" s="90">
        <f>-('Revenue automotive'!Q6-'GP automotive'!Q6)</f>
        <v>-8281.9594268462915</v>
      </c>
      <c r="R6" s="90">
        <f>-('Revenue automotive'!R6-'GP automotive'!R6)</f>
        <v>-8447.5986153832182</v>
      </c>
      <c r="S6" s="90">
        <f>-('Revenue automotive'!S6-'GP automotive'!S6)</f>
        <v>-8616.5505876908828</v>
      </c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-71.251212064036878</v>
      </c>
      <c r="K7" s="90">
        <f>-('Revenue automotive'!K7-'GP automotive'!K7)</f>
        <v>-5275.9826075989213</v>
      </c>
      <c r="L7" s="90">
        <f>-('Revenue automotive'!L7-'GP automotive'!L7)</f>
        <v>-10501.879329166433</v>
      </c>
      <c r="M7" s="90">
        <f>-('Revenue automotive'!M7-'GP automotive'!M7)</f>
        <v>-16803.006926666294</v>
      </c>
      <c r="N7" s="90">
        <f>-('Revenue automotive'!N7-'GP automotive'!N7)</f>
        <v>-18483.307619332925</v>
      </c>
      <c r="O7" s="90">
        <f>-('Revenue automotive'!O7-'GP automotive'!O7)</f>
        <v>-20331.638381266221</v>
      </c>
      <c r="P7" s="90">
        <f>-('Revenue automotive'!P7-'GP automotive'!P7)</f>
        <v>-21348.220300329533</v>
      </c>
      <c r="Q7" s="90">
        <f>-('Revenue automotive'!Q7-'GP automotive'!Q7)</f>
        <v>-22415.631315346011</v>
      </c>
      <c r="R7" s="90">
        <f>-('Revenue automotive'!R7-'GP automotive'!R7)</f>
        <v>-22863.943941652928</v>
      </c>
      <c r="S7" s="90">
        <f>-('Revenue automotive'!S7-'GP automotive'!S7)</f>
        <v>-23321.222820485986</v>
      </c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-69.789338310590452</v>
      </c>
      <c r="L8" s="90">
        <f>-('Revenue automotive'!L8-'GP automotive'!L8)</f>
        <v>-139.5786766211809</v>
      </c>
      <c r="M8" s="90">
        <f>-('Revenue automotive'!M8-'GP automotive'!M8)</f>
        <v>-209.36801493177134</v>
      </c>
      <c r="N8" s="90">
        <f>-('Revenue automotive'!N8-'GP automotive'!N8)</f>
        <v>-230.30481642494851</v>
      </c>
      <c r="O8" s="90">
        <f>-('Revenue automotive'!O8-'GP automotive'!O8)</f>
        <v>-253.3352980674434</v>
      </c>
      <c r="P8" s="90">
        <f>-('Revenue automotive'!P8-'GP automotive'!P8)</f>
        <v>-266.00206297081559</v>
      </c>
      <c r="Q8" s="90">
        <f>-('Revenue automotive'!Q8-'GP automotive'!Q8)</f>
        <v>-279.30216611935634</v>
      </c>
      <c r="R8" s="90">
        <f>-('Revenue automotive'!R8-'GP automotive'!R8)</f>
        <v>-284.88820944174347</v>
      </c>
      <c r="S8" s="90">
        <f>-('Revenue automotive'!S8-'GP automotive'!S8)</f>
        <v>-290.58597363057839</v>
      </c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-13.800535989119375</v>
      </c>
      <c r="K9" s="90">
        <f>-('Revenue automotive'!K9-'GP automotive'!K9)</f>
        <v>-1021.896831575268</v>
      </c>
      <c r="L9" s="90">
        <f>-('Revenue automotive'!L9-'GP automotive'!L9)</f>
        <v>-2034.0926061060304</v>
      </c>
      <c r="M9" s="90">
        <f>-('Revenue automotive'!M9-'GP automotive'!M9)</f>
        <v>-3254.5481697696496</v>
      </c>
      <c r="N9" s="90">
        <f>-('Revenue automotive'!N9-'GP automotive'!N9)</f>
        <v>-3580.0029867466146</v>
      </c>
      <c r="O9" s="90">
        <f>-('Revenue automotive'!O9-'GP automotive'!O9)</f>
        <v>-3938.0032854212768</v>
      </c>
      <c r="P9" s="90">
        <f>-('Revenue automotive'!P9-'GP automotive'!P9)</f>
        <v>-4134.9034496923405</v>
      </c>
      <c r="Q9" s="90">
        <f>-('Revenue automotive'!Q9-'GP automotive'!Q9)</f>
        <v>-4341.6486221769574</v>
      </c>
      <c r="R9" s="90">
        <f>-('Revenue automotive'!R9-'GP automotive'!R9)</f>
        <v>-4428.4815946204972</v>
      </c>
      <c r="S9" s="90">
        <f>-('Revenue automotive'!S9-'GP automotive'!S9)</f>
        <v>-4517.0512265129064</v>
      </c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-40.415591271136584</v>
      </c>
      <c r="K10" s="90">
        <f>-('Revenue automotive'!K10-'GP automotive'!K10)</f>
        <v>-2992.6783060293997</v>
      </c>
      <c r="L10" s="90">
        <f>-('Revenue automotive'!L10-'GP automotive'!L10)</f>
        <v>-5956.9465592378192</v>
      </c>
      <c r="M10" s="90">
        <f>-('Revenue automotive'!M10-'GP automotive'!M10)</f>
        <v>-9531.1144947805114</v>
      </c>
      <c r="N10" s="90">
        <f>-('Revenue automotive'!N10-'GP automotive'!N10)</f>
        <v>-10484.225944258562</v>
      </c>
      <c r="O10" s="90">
        <f>-('Revenue automotive'!O10-'GP automotive'!O10)</f>
        <v>-11532.64853868442</v>
      </c>
      <c r="P10" s="90">
        <f>-('Revenue automotive'!P10-'GP automotive'!P10)</f>
        <v>-12109.280965618642</v>
      </c>
      <c r="Q10" s="90">
        <f>-('Revenue automotive'!Q10-'GP automotive'!Q10)</f>
        <v>-12714.745013899575</v>
      </c>
      <c r="R10" s="90">
        <f>-('Revenue automotive'!R10-'GP automotive'!R10)</f>
        <v>-12969.039914177567</v>
      </c>
      <c r="S10" s="90">
        <f>-('Revenue automotive'!S10-'GP automotive'!S10)</f>
        <v>-13228.420712461118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-7778.6807452479779</v>
      </c>
      <c r="I11" s="127">
        <f>-('Revenue automotive'!I11-'GP automotive'!I11)</f>
        <v>-11525.019745247979</v>
      </c>
      <c r="J11" s="127">
        <f t="shared" si="0"/>
        <v>-16903.783036355555</v>
      </c>
      <c r="K11" s="127">
        <f t="shared" si="0"/>
        <v>-32023.884633577272</v>
      </c>
      <c r="L11" s="127">
        <f t="shared" si="0"/>
        <v>-42974.057039443534</v>
      </c>
      <c r="M11" s="127">
        <f t="shared" si="0"/>
        <v>-55973.655395799025</v>
      </c>
      <c r="N11" s="127">
        <f t="shared" si="0"/>
        <v>-60032.702535845514</v>
      </c>
      <c r="O11" s="127">
        <f t="shared" ref="O11:S11" si="1">SUM(O5:O10)</f>
        <v>-64439.101470724068</v>
      </c>
      <c r="P11" s="127">
        <f t="shared" si="1"/>
        <v>-66809.552265241728</v>
      </c>
      <c r="Q11" s="127">
        <f t="shared" si="1"/>
        <v>-69281.495513904898</v>
      </c>
      <c r="R11" s="127">
        <f t="shared" si="1"/>
        <v>-70667.125424183003</v>
      </c>
      <c r="S11" s="127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306</v>
      </c>
    </row>
    <row r="2" spans="1:19" ht="15.6" x14ac:dyDescent="0.25">
      <c r="A2" s="1"/>
      <c r="B2" s="2"/>
    </row>
    <row r="3" spans="1:19" ht="24" x14ac:dyDescent="0.25">
      <c r="A3" s="1"/>
      <c r="B3" s="36" t="s">
        <v>172</v>
      </c>
      <c r="C3" s="6" t="s">
        <v>45</v>
      </c>
      <c r="D3" s="6" t="s">
        <v>46</v>
      </c>
      <c r="E3" s="6" t="s">
        <v>47</v>
      </c>
      <c r="F3" s="6" t="s">
        <v>165</v>
      </c>
      <c r="G3" s="6"/>
      <c r="H3" s="98"/>
      <c r="I3" s="98" t="s">
        <v>183</v>
      </c>
      <c r="J3" s="98" t="s">
        <v>185</v>
      </c>
      <c r="K3" s="98" t="s">
        <v>186</v>
      </c>
      <c r="L3" s="98" t="s">
        <v>187</v>
      </c>
      <c r="M3" s="98" t="s">
        <v>188</v>
      </c>
      <c r="N3" s="98" t="s">
        <v>189</v>
      </c>
      <c r="O3" s="98" t="s">
        <v>269</v>
      </c>
      <c r="P3" s="98" t="s">
        <v>270</v>
      </c>
      <c r="Q3" s="98" t="s">
        <v>271</v>
      </c>
      <c r="R3" s="98" t="s">
        <v>272</v>
      </c>
      <c r="S3" s="98" t="s">
        <v>273</v>
      </c>
    </row>
    <row r="4" spans="1:19" x14ac:dyDescent="0.25">
      <c r="B4" s="8" t="s">
        <v>307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308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2711.0202547520225</v>
      </c>
      <c r="J5" s="90">
        <f>'GP automotive'!J11</f>
        <v>3095.1669636444458</v>
      </c>
      <c r="K5" s="90">
        <f>'GP automotive'!K11</f>
        <v>6066.2463188036818</v>
      </c>
      <c r="L5" s="90">
        <f>'GP automotive'!L11</f>
        <v>8451.7560444566952</v>
      </c>
      <c r="M5" s="90">
        <f>'GP automotive'!M11</f>
        <v>11289.414938441347</v>
      </c>
      <c r="N5" s="90">
        <f>'GP automotive'!N11</f>
        <v>12141.916319818894</v>
      </c>
      <c r="O5" s="90">
        <f>'GP automotive'!O11</f>
        <v>13070.213908266798</v>
      </c>
      <c r="P5" s="90">
        <f>'GP automotive'!P11</f>
        <v>13580.36870364188</v>
      </c>
      <c r="Q5" s="90">
        <f>'GP automotive'!Q11</f>
        <v>14113.164120784952</v>
      </c>
      <c r="R5" s="90">
        <f>'GP automotive'!R11</f>
        <v>14395.427403200651</v>
      </c>
      <c r="S5" s="90">
        <f>'GP automotive'!S11</f>
        <v>14683.335951264664</v>
      </c>
    </row>
    <row r="6" spans="1:19" x14ac:dyDescent="0.25">
      <c r="B6" s="8" t="s">
        <v>218</v>
      </c>
      <c r="C6" s="215">
        <f>C5/C4</f>
        <v>0.28641821183287597</v>
      </c>
      <c r="D6" s="215">
        <f>D5/D4</f>
        <v>0.24530275946926108</v>
      </c>
      <c r="E6" s="215">
        <f>E5/E4</f>
        <v>0.25204597366679865</v>
      </c>
      <c r="F6" s="215">
        <f>F5/F4</f>
        <v>0.2290765768101812</v>
      </c>
      <c r="G6" s="215"/>
      <c r="H6" s="215"/>
      <c r="I6" s="222">
        <f>I5/I4</f>
        <v>0.19043359352404338</v>
      </c>
      <c r="J6" s="222">
        <f t="shared" ref="J6:S6" si="0">J5/J4</f>
        <v>0.15476647342207694</v>
      </c>
      <c r="K6" s="222">
        <f t="shared" si="0"/>
        <v>0.15926031670480487</v>
      </c>
      <c r="L6" s="222">
        <f t="shared" si="0"/>
        <v>0.16434851561156294</v>
      </c>
      <c r="M6" s="222">
        <f t="shared" si="0"/>
        <v>0.16783972070175412</v>
      </c>
      <c r="N6" s="222">
        <f t="shared" si="0"/>
        <v>0.16822972552304613</v>
      </c>
      <c r="O6" s="222">
        <f t="shared" si="0"/>
        <v>0.16862765261644305</v>
      </c>
      <c r="P6" s="222">
        <f t="shared" si="0"/>
        <v>0.1689312359057849</v>
      </c>
      <c r="Q6" s="222">
        <f t="shared" si="0"/>
        <v>0.16923342792701163</v>
      </c>
      <c r="R6" s="222">
        <f t="shared" si="0"/>
        <v>0.16923342792701165</v>
      </c>
      <c r="S6" s="222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252</v>
      </c>
    </row>
    <row r="2" spans="1:19" ht="15.6" x14ac:dyDescent="0.25">
      <c r="A2" s="1"/>
      <c r="B2" s="2"/>
    </row>
    <row r="3" spans="1:19" ht="12" x14ac:dyDescent="0.25">
      <c r="C3" s="224" t="s">
        <v>344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220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214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215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214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214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214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216</v>
      </c>
      <c r="O1" s="98" t="s">
        <v>270</v>
      </c>
    </row>
    <row r="2" spans="1:19" ht="15.6" x14ac:dyDescent="0.25">
      <c r="A2" s="1"/>
      <c r="B2" s="2"/>
    </row>
    <row r="3" spans="1:19" ht="12" x14ac:dyDescent="0.25">
      <c r="C3" s="224" t="s">
        <v>219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220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214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218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214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214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214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356</v>
      </c>
      <c r="C4" s="113" t="s">
        <v>196</v>
      </c>
      <c r="E4" s="4"/>
      <c r="F4" s="4"/>
    </row>
    <row r="5" spans="1:6" x14ac:dyDescent="0.25">
      <c r="B5" s="8" t="s">
        <v>191</v>
      </c>
      <c r="C5" s="99" t="s">
        <v>192</v>
      </c>
    </row>
    <row r="6" spans="1:6" x14ac:dyDescent="0.25">
      <c r="B6" s="8" t="s">
        <v>193</v>
      </c>
      <c r="C6" s="99" t="s">
        <v>194</v>
      </c>
    </row>
    <row r="7" spans="1:6" x14ac:dyDescent="0.25">
      <c r="B7" s="8" t="s">
        <v>357</v>
      </c>
      <c r="C7" s="100">
        <v>3.0700000000000002E-2</v>
      </c>
    </row>
    <row r="8" spans="1:6" x14ac:dyDescent="0.25">
      <c r="B8" s="8" t="s">
        <v>195</v>
      </c>
      <c r="C8" s="34">
        <v>0.05</v>
      </c>
    </row>
    <row r="9" spans="1:6" x14ac:dyDescent="0.25">
      <c r="B9" s="8" t="s">
        <v>358</v>
      </c>
      <c r="C9" s="8">
        <v>0.78</v>
      </c>
    </row>
    <row r="10" spans="1:6" x14ac:dyDescent="0.25">
      <c r="B10" s="8" t="s">
        <v>359</v>
      </c>
      <c r="C10" s="8">
        <v>307.8</v>
      </c>
    </row>
    <row r="11" spans="1:6" x14ac:dyDescent="0.2">
      <c r="B11" s="20" t="s">
        <v>360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162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24" t="s">
        <v>345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220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247</v>
      </c>
    </row>
    <row r="2" spans="1:6" ht="15.6" x14ac:dyDescent="0.25">
      <c r="A2" s="1"/>
      <c r="B2" s="2"/>
    </row>
    <row r="3" spans="1:6" ht="13.2" x14ac:dyDescent="0.25">
      <c r="A3" s="1"/>
      <c r="B3" s="102" t="s">
        <v>275</v>
      </c>
    </row>
    <row r="5" spans="1:6" x14ac:dyDescent="0.25">
      <c r="F5" s="8" t="s">
        <v>202</v>
      </c>
    </row>
    <row r="6" spans="1:6" ht="12" x14ac:dyDescent="0.25">
      <c r="B6" s="36" t="s">
        <v>356</v>
      </c>
      <c r="C6" s="62" t="s">
        <v>199</v>
      </c>
      <c r="D6" s="62" t="s">
        <v>235</v>
      </c>
    </row>
    <row r="7" spans="1:6" x14ac:dyDescent="0.25">
      <c r="B7" s="8" t="s">
        <v>224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225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226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227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228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229</v>
      </c>
      <c r="C12" s="114">
        <f>(-379+5376+2490)/24339</f>
        <v>0.30761329553391675</v>
      </c>
      <c r="D12" s="114"/>
    </row>
    <row r="13" spans="1:6" x14ac:dyDescent="0.25">
      <c r="B13" s="8" t="s">
        <v>230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231</v>
      </c>
      <c r="C14" s="114">
        <f>(329065+657119)/3416890</f>
        <v>0.28862035359639904</v>
      </c>
      <c r="D14" s="114"/>
    </row>
    <row r="15" spans="1:6" x14ac:dyDescent="0.25">
      <c r="B15" s="8" t="s">
        <v>232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233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234</v>
      </c>
      <c r="C17" s="114">
        <f>(264.7+449.5)/18187.5</f>
        <v>3.9268728522336774E-2</v>
      </c>
      <c r="D17" s="114"/>
    </row>
    <row r="18" spans="2:4" ht="12" x14ac:dyDescent="0.25">
      <c r="B18" s="9" t="s">
        <v>199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24" t="s">
        <v>237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236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223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236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236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236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workbookViewId="0">
      <selection activeCell="E8" sqref="E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163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24" t="s">
        <v>238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</row>
    <row r="6" spans="1:19" ht="26.4" customHeight="1" x14ac:dyDescent="0.25">
      <c r="A6" s="19" t="s">
        <v>76</v>
      </c>
      <c r="B6" s="5" t="s">
        <v>260</v>
      </c>
      <c r="C6" s="6" t="s">
        <v>239</v>
      </c>
      <c r="D6" s="6" t="s">
        <v>240</v>
      </c>
      <c r="E6" s="6" t="s">
        <v>241</v>
      </c>
      <c r="F6" s="6" t="s">
        <v>244</v>
      </c>
      <c r="G6" s="6" t="s">
        <v>242</v>
      </c>
      <c r="H6" s="98" t="s">
        <v>184</v>
      </c>
      <c r="I6" s="98" t="s">
        <v>295</v>
      </c>
      <c r="J6" s="98" t="s">
        <v>296</v>
      </c>
      <c r="K6" s="98" t="s">
        <v>297</v>
      </c>
      <c r="L6" s="98" t="s">
        <v>298</v>
      </c>
      <c r="M6" s="98" t="s">
        <v>299</v>
      </c>
      <c r="N6" s="98" t="s">
        <v>300</v>
      </c>
      <c r="O6" s="98" t="s">
        <v>301</v>
      </c>
      <c r="P6" s="98" t="s">
        <v>302</v>
      </c>
      <c r="Q6" s="98" t="s">
        <v>303</v>
      </c>
      <c r="R6" s="98" t="s">
        <v>304</v>
      </c>
      <c r="S6" s="98" t="s">
        <v>305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14637.79562666667</v>
      </c>
      <c r="K7" s="125">
        <f t="shared" ref="K7:O7" si="0">J10</f>
        <v>19126.71961884445</v>
      </c>
      <c r="L7" s="125">
        <f t="shared" si="0"/>
        <v>23116.006853632007</v>
      </c>
      <c r="M7" s="125">
        <f t="shared" si="0"/>
        <v>25682.266148777537</v>
      </c>
      <c r="N7" s="125">
        <f t="shared" si="0"/>
        <v>28419.347087635142</v>
      </c>
      <c r="O7" s="125">
        <f t="shared" si="0"/>
        <v>31324.919586429129</v>
      </c>
      <c r="P7" s="125">
        <f t="shared" ref="P7" si="1">O10</f>
        <v>34393.940990496194</v>
      </c>
      <c r="Q7" s="125">
        <f t="shared" ref="Q7" si="2">P10</f>
        <v>37618.180795503387</v>
      </c>
      <c r="R7" s="125">
        <f t="shared" ref="R7" si="3">Q10</f>
        <v>40985.69281757198</v>
      </c>
      <c r="S7" s="125">
        <f t="shared" ref="S7" si="4">R10</f>
        <v>44480.231339819991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5855.1182506666682</v>
      </c>
      <c r="K8" s="125">
        <f>CHOOSE($C$3,K30*K7,K31*'P&amp;L'!K5)</f>
        <v>5738.0158856533353</v>
      </c>
      <c r="L8" s="125">
        <f>CHOOSE($C$3,L30*L7,L31*'P&amp;L'!L5)</f>
        <v>4623.2013707264014</v>
      </c>
      <c r="M8" s="125">
        <f>CHOOSE($C$3,M30*M7,M31*'P&amp;L'!M5)</f>
        <v>5136.4532297555079</v>
      </c>
      <c r="N8" s="125">
        <f>CHOOSE($C$3,N30*N7,N31*'P&amp;L'!N5)</f>
        <v>5683.8694175270284</v>
      </c>
      <c r="O8" s="125">
        <f>CHOOSE($C$3,O30*O7,O31*'P&amp;L'!O5)</f>
        <v>6264.9839172858265</v>
      </c>
      <c r="P8" s="125">
        <f>CHOOSE($C$3,P30*P7,P31*'P&amp;L'!P5)</f>
        <v>6878.7881980992388</v>
      </c>
      <c r="Q8" s="125">
        <f>CHOOSE($C$3,Q30*Q7,Q31*'P&amp;L'!Q5)</f>
        <v>7523.636159100678</v>
      </c>
      <c r="R8" s="125">
        <f>CHOOSE($C$3,R30*R7,R31*'P&amp;L'!R5)</f>
        <v>8197.1385635143961</v>
      </c>
      <c r="S8" s="125">
        <f>CHOOSE($C$3,S30*S7,S31*'P&amp;L'!S5)</f>
        <v>8896.0462679639986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-504.75157333333334</v>
      </c>
      <c r="I9" s="125">
        <f>G9+H9</f>
        <v>-1406.2395733333333</v>
      </c>
      <c r="J9" s="125">
        <f t="shared" ref="J9:S9" si="5">J26</f>
        <v>-1366.1942584888893</v>
      </c>
      <c r="K9" s="125">
        <f t="shared" si="5"/>
        <v>-1748.7286508657783</v>
      </c>
      <c r="L9" s="125">
        <f t="shared" si="5"/>
        <v>-2056.9420755808715</v>
      </c>
      <c r="M9" s="125">
        <f t="shared" si="5"/>
        <v>-2399.3722908979053</v>
      </c>
      <c r="N9" s="125">
        <f t="shared" si="5"/>
        <v>-2778.2969187330405</v>
      </c>
      <c r="O9" s="125">
        <f t="shared" si="5"/>
        <v>-3195.9625132187621</v>
      </c>
      <c r="P9" s="125">
        <f t="shared" si="5"/>
        <v>-3654.5483930920445</v>
      </c>
      <c r="Q9" s="125">
        <f t="shared" si="5"/>
        <v>-4156.1241370320895</v>
      </c>
      <c r="R9" s="125">
        <f t="shared" si="5"/>
        <v>-4702.6000412663825</v>
      </c>
      <c r="S9" s="125">
        <f t="shared" si="5"/>
        <v>-5295.669792463982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14637.795626666668</v>
      </c>
      <c r="I10" s="127">
        <f>SUM(I7:I9)</f>
        <v>14637.79562666667</v>
      </c>
      <c r="J10" s="127">
        <f t="shared" ref="J10:S10" si="6">SUM(J7:J9)</f>
        <v>19126.71961884445</v>
      </c>
      <c r="K10" s="127">
        <f t="shared" si="6"/>
        <v>23116.006853632007</v>
      </c>
      <c r="L10" s="127">
        <f t="shared" si="6"/>
        <v>25682.266148777537</v>
      </c>
      <c r="M10" s="127">
        <f t="shared" si="6"/>
        <v>28419.347087635142</v>
      </c>
      <c r="N10" s="127">
        <f t="shared" si="6"/>
        <v>31324.919586429129</v>
      </c>
      <c r="O10" s="127">
        <f t="shared" si="6"/>
        <v>34393.940990496194</v>
      </c>
      <c r="P10" s="127">
        <f t="shared" si="6"/>
        <v>37618.180795503387</v>
      </c>
      <c r="Q10" s="127">
        <f t="shared" si="6"/>
        <v>40985.69281757198</v>
      </c>
      <c r="R10" s="127">
        <f t="shared" si="6"/>
        <v>44480.231339819991</v>
      </c>
      <c r="S10" s="127">
        <f t="shared" si="6"/>
        <v>48080.607815320007</v>
      </c>
    </row>
    <row r="11" spans="1:19" ht="4.95" customHeight="1" x14ac:dyDescent="0.25"/>
    <row r="12" spans="1:19" x14ac:dyDescent="0.25">
      <c r="B12" s="20"/>
      <c r="C12" s="224" t="s">
        <v>243</v>
      </c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</row>
    <row r="13" spans="1:19" ht="24" x14ac:dyDescent="0.25">
      <c r="B13" s="5" t="s">
        <v>260</v>
      </c>
      <c r="C13" s="6" t="s">
        <v>45</v>
      </c>
      <c r="D13" s="6" t="s">
        <v>46</v>
      </c>
      <c r="E13" s="6" t="s">
        <v>47</v>
      </c>
      <c r="F13" s="6" t="s">
        <v>165</v>
      </c>
      <c r="G13" s="6" t="s">
        <v>173</v>
      </c>
      <c r="H13" s="98" t="s">
        <v>184</v>
      </c>
      <c r="I13" s="98" t="s">
        <v>183</v>
      </c>
      <c r="J13" s="98" t="s">
        <v>185</v>
      </c>
      <c r="K13" s="98" t="s">
        <v>186</v>
      </c>
      <c r="L13" s="98" t="s">
        <v>187</v>
      </c>
      <c r="M13" s="98" t="s">
        <v>188</v>
      </c>
      <c r="N13" s="98" t="s">
        <v>189</v>
      </c>
      <c r="O13" s="98" t="s">
        <v>269</v>
      </c>
      <c r="P13" s="98" t="s">
        <v>270</v>
      </c>
      <c r="Q13" s="98" t="s">
        <v>271</v>
      </c>
      <c r="R13" s="98" t="s">
        <v>272</v>
      </c>
      <c r="S13" s="98" t="s">
        <v>273</v>
      </c>
    </row>
    <row r="14" spans="1:19" x14ac:dyDescent="0.25">
      <c r="B14" s="23" t="s">
        <v>184</v>
      </c>
      <c r="C14" s="23"/>
      <c r="D14" s="23"/>
      <c r="E14" s="23"/>
      <c r="F14" s="23"/>
      <c r="G14" s="171"/>
      <c r="H14" s="74">
        <f>-$G$10/$C$34/2-$H$8/$C$33/2</f>
        <v>-504.75157333333334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183</v>
      </c>
      <c r="C15" s="23"/>
      <c r="D15" s="23"/>
      <c r="E15" s="23"/>
      <c r="F15" s="23"/>
      <c r="G15" s="171"/>
      <c r="H15" s="74"/>
      <c r="I15" s="74">
        <f>I9</f>
        <v>-1406.2395733333333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185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-1366.1942584888893</v>
      </c>
      <c r="K16" s="74">
        <f t="shared" si="7"/>
        <v>-1366.1942584888893</v>
      </c>
      <c r="L16" s="74">
        <f t="shared" si="7"/>
        <v>-1366.1942584888893</v>
      </c>
      <c r="M16" s="74">
        <f t="shared" si="7"/>
        <v>-1366.1942584888893</v>
      </c>
      <c r="N16" s="74">
        <f t="shared" si="7"/>
        <v>-1366.1942584888893</v>
      </c>
      <c r="O16" s="74">
        <f t="shared" si="7"/>
        <v>-1366.1942584888893</v>
      </c>
      <c r="P16" s="74">
        <f t="shared" si="7"/>
        <v>-1366.1942584888893</v>
      </c>
      <c r="Q16" s="74">
        <f t="shared" si="7"/>
        <v>-1366.1942584888893</v>
      </c>
      <c r="R16" s="74">
        <f t="shared" si="7"/>
        <v>-1366.1942584888893</v>
      </c>
      <c r="S16" s="74">
        <f t="shared" si="7"/>
        <v>-1366.1942584888893</v>
      </c>
    </row>
    <row r="17" spans="2:19" x14ac:dyDescent="0.25">
      <c r="B17" s="23" t="s">
        <v>186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-382.534392376889</v>
      </c>
      <c r="L17" s="74">
        <f t="shared" si="8"/>
        <v>-382.534392376889</v>
      </c>
      <c r="M17" s="74">
        <f t="shared" si="8"/>
        <v>-382.534392376889</v>
      </c>
      <c r="N17" s="74">
        <f t="shared" si="8"/>
        <v>-382.534392376889</v>
      </c>
      <c r="O17" s="74">
        <f t="shared" si="8"/>
        <v>-382.534392376889</v>
      </c>
      <c r="P17" s="74">
        <f t="shared" si="8"/>
        <v>-382.534392376889</v>
      </c>
      <c r="Q17" s="74">
        <f t="shared" si="8"/>
        <v>-382.534392376889</v>
      </c>
      <c r="R17" s="74">
        <f t="shared" si="8"/>
        <v>-382.534392376889</v>
      </c>
      <c r="S17" s="74">
        <f t="shared" si="8"/>
        <v>-382.534392376889</v>
      </c>
    </row>
    <row r="18" spans="2:19" x14ac:dyDescent="0.25">
      <c r="B18" s="23" t="s">
        <v>187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-308.21342471509342</v>
      </c>
      <c r="M18" s="74">
        <f t="shared" si="9"/>
        <v>-308.21342471509342</v>
      </c>
      <c r="N18" s="74">
        <f t="shared" si="9"/>
        <v>-308.21342471509342</v>
      </c>
      <c r="O18" s="74">
        <f t="shared" si="9"/>
        <v>-308.21342471509342</v>
      </c>
      <c r="P18" s="74">
        <f t="shared" si="9"/>
        <v>-308.21342471509342</v>
      </c>
      <c r="Q18" s="74">
        <f t="shared" si="9"/>
        <v>-308.21342471509342</v>
      </c>
      <c r="R18" s="74">
        <f t="shared" si="9"/>
        <v>-308.21342471509342</v>
      </c>
      <c r="S18" s="74">
        <f t="shared" si="9"/>
        <v>-308.21342471509342</v>
      </c>
    </row>
    <row r="19" spans="2:19" x14ac:dyDescent="0.25">
      <c r="B19" s="23" t="s">
        <v>188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>-$M$8/$C$33</f>
        <v>-342.43021531703386</v>
      </c>
      <c r="N19" s="74">
        <f t="shared" ref="N19:S19" si="10">-$M$8/$C$33</f>
        <v>-342.43021531703386</v>
      </c>
      <c r="O19" s="74">
        <f t="shared" si="10"/>
        <v>-342.43021531703386</v>
      </c>
      <c r="P19" s="74">
        <f t="shared" si="10"/>
        <v>-342.43021531703386</v>
      </c>
      <c r="Q19" s="74">
        <f t="shared" si="10"/>
        <v>-342.43021531703386</v>
      </c>
      <c r="R19" s="74">
        <f t="shared" si="10"/>
        <v>-342.43021531703386</v>
      </c>
      <c r="S19" s="74">
        <f t="shared" si="10"/>
        <v>-342.43021531703386</v>
      </c>
    </row>
    <row r="20" spans="2:19" x14ac:dyDescent="0.25">
      <c r="B20" s="23" t="s">
        <v>189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-378.92462783513525</v>
      </c>
      <c r="O20" s="74">
        <f t="shared" si="11"/>
        <v>-378.92462783513525</v>
      </c>
      <c r="P20" s="74">
        <f t="shared" si="11"/>
        <v>-378.92462783513525</v>
      </c>
      <c r="Q20" s="74">
        <f t="shared" si="11"/>
        <v>-378.92462783513525</v>
      </c>
      <c r="R20" s="74">
        <f t="shared" si="11"/>
        <v>-378.92462783513525</v>
      </c>
      <c r="S20" s="74">
        <f t="shared" si="11"/>
        <v>-378.92462783513525</v>
      </c>
    </row>
    <row r="21" spans="2:19" x14ac:dyDescent="0.25">
      <c r="B21" s="23" t="s">
        <v>276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-417.66559448572178</v>
      </c>
      <c r="P21" s="74">
        <f>-$O$8/$C$33</f>
        <v>-417.66559448572178</v>
      </c>
      <c r="Q21" s="74">
        <f>-$O$8/$C$33</f>
        <v>-417.66559448572178</v>
      </c>
      <c r="R21" s="74">
        <f>-$O$8/$C$33</f>
        <v>-417.66559448572178</v>
      </c>
      <c r="S21" s="74">
        <f>-$O$8/$C$33</f>
        <v>-417.66559448572178</v>
      </c>
    </row>
    <row r="22" spans="2:19" x14ac:dyDescent="0.25">
      <c r="B22" s="23" t="s">
        <v>277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-458.58587987328258</v>
      </c>
      <c r="Q22" s="74">
        <f t="shared" ref="Q22:S22" si="12">-$P$8/$C$33</f>
        <v>-458.58587987328258</v>
      </c>
      <c r="R22" s="74">
        <f t="shared" si="12"/>
        <v>-458.58587987328258</v>
      </c>
      <c r="S22" s="74">
        <f t="shared" si="12"/>
        <v>-458.58587987328258</v>
      </c>
    </row>
    <row r="23" spans="2:19" x14ac:dyDescent="0.25">
      <c r="B23" s="23" t="s">
        <v>278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-501.57574394004519</v>
      </c>
      <c r="R23" s="74">
        <f t="shared" ref="R23:S23" si="13">-$Q$8/$C$33</f>
        <v>-501.57574394004519</v>
      </c>
      <c r="S23" s="74">
        <f t="shared" si="13"/>
        <v>-501.57574394004519</v>
      </c>
    </row>
    <row r="24" spans="2:19" x14ac:dyDescent="0.25">
      <c r="B24" s="23" t="s">
        <v>279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-546.47590423429313</v>
      </c>
      <c r="S24" s="74">
        <f>-$R$8/$C$33</f>
        <v>-546.47590423429313</v>
      </c>
    </row>
    <row r="25" spans="2:19" x14ac:dyDescent="0.25">
      <c r="B25" s="23" t="s">
        <v>280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-593.06975119759989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-504.75157333333334</v>
      </c>
      <c r="I26" s="127">
        <f t="shared" ref="I26:S26" si="14">SUM(I14:I25)</f>
        <v>-1406.2395733333333</v>
      </c>
      <c r="J26" s="127">
        <f t="shared" si="14"/>
        <v>-1366.1942584888893</v>
      </c>
      <c r="K26" s="127">
        <f t="shared" si="14"/>
        <v>-1748.7286508657783</v>
      </c>
      <c r="L26" s="127">
        <f t="shared" si="14"/>
        <v>-2056.9420755808715</v>
      </c>
      <c r="M26" s="127">
        <f t="shared" si="14"/>
        <v>-2399.3722908979053</v>
      </c>
      <c r="N26" s="127">
        <f t="shared" si="14"/>
        <v>-2778.2969187330405</v>
      </c>
      <c r="O26" s="127">
        <f t="shared" si="14"/>
        <v>-3195.9625132187621</v>
      </c>
      <c r="P26" s="127">
        <f t="shared" si="14"/>
        <v>-3654.5483930920445</v>
      </c>
      <c r="Q26" s="127">
        <f t="shared" si="14"/>
        <v>-4156.1241370320895</v>
      </c>
      <c r="R26" s="127">
        <f t="shared" si="14"/>
        <v>-4702.6000412663825</v>
      </c>
      <c r="S26" s="127">
        <f t="shared" si="14"/>
        <v>-5295.669792463982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-4.7720564122277459E-2</v>
      </c>
      <c r="I29" s="119">
        <f>I9/'P&amp;L'!I5</f>
        <v>-7.8175599700011006E-2</v>
      </c>
      <c r="J29" s="119">
        <f>J9/'P&amp;L'!J5</f>
        <v>-5.9253746869695333E-2</v>
      </c>
      <c r="K29" s="119">
        <f>K9/'P&amp;L'!K5</f>
        <v>-4.2123037301882965E-2</v>
      </c>
      <c r="L29" s="119">
        <f>L9/'P&amp;L'!L5</f>
        <v>-3.7314524630291029E-2</v>
      </c>
      <c r="M29" s="119">
        <f>M9/'P&amp;L'!M5</f>
        <v>-3.3706808589779855E-2</v>
      </c>
      <c r="N29" s="119">
        <f>N9/'P&amp;L'!N5</f>
        <v>-3.63983063076413E-2</v>
      </c>
      <c r="O29" s="119">
        <f>O9/'P&amp;L'!O5</f>
        <v>-3.9015865714457601E-2</v>
      </c>
      <c r="P29" s="119">
        <f>P9/'P&amp;L'!P5</f>
        <v>-4.2964689780681437E-2</v>
      </c>
      <c r="Q29" s="119">
        <f>Q9/'P&amp;L'!Q5</f>
        <v>-4.7044648103555325E-2</v>
      </c>
      <c r="R29" s="119">
        <f>R9/'P&amp;L'!R5</f>
        <v>-5.2072261720660908E-2</v>
      </c>
      <c r="S29" s="119">
        <f>S9/'P&amp;L'!S5</f>
        <v>-5.7358899861065488E-2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0.2</v>
      </c>
      <c r="N30" s="119">
        <v>0.2</v>
      </c>
      <c r="O30" s="119">
        <v>0.2</v>
      </c>
      <c r="P30" s="119">
        <v>0.2</v>
      </c>
      <c r="Q30" s="119">
        <v>0.2</v>
      </c>
      <c r="R30" s="119">
        <v>0.2</v>
      </c>
      <c r="S30" s="119">
        <v>0.2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248</v>
      </c>
    </row>
    <row r="2" spans="1:7" ht="15.6" x14ac:dyDescent="0.25">
      <c r="A2" s="1"/>
      <c r="B2" s="2"/>
    </row>
    <row r="3" spans="1:7" ht="13.2" x14ac:dyDescent="0.25">
      <c r="A3" s="1"/>
      <c r="B3" s="102" t="s">
        <v>275</v>
      </c>
    </row>
    <row r="5" spans="1:7" ht="12" x14ac:dyDescent="0.25">
      <c r="C5" s="224" t="s">
        <v>87</v>
      </c>
      <c r="D5" s="224"/>
      <c r="F5" s="224" t="s">
        <v>88</v>
      </c>
      <c r="G5" s="224"/>
    </row>
    <row r="6" spans="1:7" ht="12" x14ac:dyDescent="0.25">
      <c r="B6" s="36" t="s">
        <v>356</v>
      </c>
      <c r="C6" s="62" t="s">
        <v>199</v>
      </c>
      <c r="D6" s="62" t="s">
        <v>235</v>
      </c>
      <c r="F6" s="62" t="s">
        <v>199</v>
      </c>
      <c r="G6" s="62" t="s">
        <v>235</v>
      </c>
    </row>
    <row r="7" spans="1:7" x14ac:dyDescent="0.25">
      <c r="B7" s="8" t="s">
        <v>224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225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226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227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228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229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230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231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232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233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234</v>
      </c>
      <c r="C17" s="114"/>
      <c r="D17" s="114"/>
      <c r="E17" s="129"/>
      <c r="F17" s="114"/>
      <c r="G17" s="114"/>
    </row>
    <row r="18" spans="2:7" ht="12" x14ac:dyDescent="0.25">
      <c r="B18" s="9" t="s">
        <v>199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24" t="s">
        <v>250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8.8" customHeight="1" x14ac:dyDescent="0.25">
      <c r="B4" s="5" t="s">
        <v>260</v>
      </c>
      <c r="C4" s="6" t="s">
        <v>239</v>
      </c>
      <c r="D4" s="6" t="s">
        <v>240</v>
      </c>
      <c r="E4" s="6" t="s">
        <v>241</v>
      </c>
      <c r="F4" s="6" t="s">
        <v>244</v>
      </c>
      <c r="G4" s="6" t="s">
        <v>242</v>
      </c>
      <c r="H4" s="98"/>
      <c r="I4" s="98" t="s">
        <v>295</v>
      </c>
      <c r="J4" s="98" t="s">
        <v>296</v>
      </c>
      <c r="K4" s="98" t="s">
        <v>297</v>
      </c>
      <c r="L4" s="98" t="s">
        <v>298</v>
      </c>
      <c r="M4" s="98" t="s">
        <v>299</v>
      </c>
      <c r="N4" s="98" t="s">
        <v>300</v>
      </c>
      <c r="O4" s="98" t="s">
        <v>301</v>
      </c>
      <c r="P4" s="98" t="s">
        <v>302</v>
      </c>
      <c r="Q4" s="98" t="s">
        <v>303</v>
      </c>
      <c r="R4" s="98" t="s">
        <v>304</v>
      </c>
      <c r="S4" s="98" t="s">
        <v>305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</row>
    <row r="8" spans="2:19" ht="13.8" thickBot="1" x14ac:dyDescent="0.3">
      <c r="B8" s="116" t="s">
        <v>249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0</v>
      </c>
      <c r="J8" s="127">
        <f t="shared" si="0"/>
        <v>0</v>
      </c>
      <c r="K8" s="127">
        <f t="shared" si="0"/>
        <v>0</v>
      </c>
      <c r="L8" s="127">
        <f t="shared" si="0"/>
        <v>0</v>
      </c>
      <c r="M8" s="127">
        <f t="shared" si="0"/>
        <v>0</v>
      </c>
      <c r="N8" s="127">
        <f t="shared" si="0"/>
        <v>0</v>
      </c>
      <c r="O8" s="127">
        <f t="shared" ref="O8:S8" si="1">O5+O6-O7</f>
        <v>0</v>
      </c>
      <c r="P8" s="127">
        <f t="shared" si="1"/>
        <v>0</v>
      </c>
      <c r="Q8" s="127">
        <f t="shared" si="1"/>
        <v>0</v>
      </c>
      <c r="R8" s="127">
        <f t="shared" si="1"/>
        <v>0</v>
      </c>
      <c r="S8" s="127">
        <f t="shared" si="1"/>
        <v>0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>
        <f>AVERAGE($C11:$G11)</f>
        <v>19.165900054556683</v>
      </c>
      <c r="I11" s="130">
        <f t="shared" ref="I11:S13" si="2">AVERAGE($C11:$G11)</f>
        <v>19.165900054556683</v>
      </c>
      <c r="J11" s="130">
        <f t="shared" si="2"/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>
        <f t="shared" ref="H12:H13" si="3">AVERAGE($C12:$G12)</f>
        <v>122.64692147602572</v>
      </c>
      <c r="I12" s="130">
        <f t="shared" si="2"/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>
        <f t="shared" si="3"/>
        <v>105.36971629082309</v>
      </c>
      <c r="I13" s="130">
        <f t="shared" si="2"/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249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>
        <f t="shared" ref="H14:S14" si="4">H11+H12-H13</f>
        <v>36.443105239759305</v>
      </c>
      <c r="I14" s="130">
        <f t="shared" si="4"/>
        <v>36.443105239759305</v>
      </c>
      <c r="J14" s="130">
        <f t="shared" si="4"/>
        <v>36.443105239759305</v>
      </c>
      <c r="K14" s="130">
        <f t="shared" si="4"/>
        <v>36.443105239759305</v>
      </c>
      <c r="L14" s="130">
        <f t="shared" si="4"/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309</v>
      </c>
    </row>
    <row r="2" spans="1:13" ht="15.6" x14ac:dyDescent="0.25">
      <c r="A2" s="1"/>
      <c r="B2" s="2"/>
    </row>
    <row r="3" spans="1:13" ht="13.2" x14ac:dyDescent="0.25">
      <c r="A3" s="1"/>
      <c r="B3" s="102" t="s">
        <v>275</v>
      </c>
    </row>
    <row r="5" spans="1:13" ht="12" x14ac:dyDescent="0.25">
      <c r="C5" s="224" t="s">
        <v>51</v>
      </c>
      <c r="D5" s="224"/>
      <c r="F5" s="224" t="s">
        <v>52</v>
      </c>
      <c r="G5" s="224"/>
      <c r="I5" s="224" t="s">
        <v>53</v>
      </c>
      <c r="J5" s="224"/>
      <c r="L5" s="224" t="s">
        <v>249</v>
      </c>
      <c r="M5" s="224"/>
    </row>
    <row r="6" spans="1:13" ht="24" x14ac:dyDescent="0.25">
      <c r="B6" s="36" t="s">
        <v>172</v>
      </c>
      <c r="C6" s="62" t="s">
        <v>199</v>
      </c>
      <c r="D6" s="62" t="s">
        <v>235</v>
      </c>
      <c r="F6" s="62" t="s">
        <v>199</v>
      </c>
      <c r="G6" s="62" t="s">
        <v>235</v>
      </c>
      <c r="I6" s="62" t="s">
        <v>199</v>
      </c>
      <c r="J6" s="62" t="s">
        <v>235</v>
      </c>
      <c r="L6" s="65" t="s">
        <v>199</v>
      </c>
      <c r="M6" s="65" t="s">
        <v>235</v>
      </c>
    </row>
    <row r="7" spans="1:13" x14ac:dyDescent="0.25">
      <c r="B7" s="8" t="s">
        <v>224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225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226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227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228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229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230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231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232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233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234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199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361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24" t="s">
        <v>254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</row>
    <row r="10" spans="1:19" ht="27" customHeight="1" x14ac:dyDescent="0.25">
      <c r="B10" s="5" t="s">
        <v>260</v>
      </c>
      <c r="C10" s="6" t="s">
        <v>239</v>
      </c>
      <c r="D10" s="6" t="s">
        <v>240</v>
      </c>
      <c r="E10" s="6" t="s">
        <v>241</v>
      </c>
      <c r="F10" s="6" t="s">
        <v>244</v>
      </c>
      <c r="G10" s="6" t="s">
        <v>242</v>
      </c>
      <c r="H10" s="98"/>
      <c r="I10" s="98" t="s">
        <v>295</v>
      </c>
      <c r="J10" s="98" t="s">
        <v>296</v>
      </c>
      <c r="K10" s="98" t="s">
        <v>297</v>
      </c>
      <c r="L10" s="98" t="s">
        <v>298</v>
      </c>
      <c r="M10" s="98" t="s">
        <v>299</v>
      </c>
      <c r="N10" s="98" t="s">
        <v>300</v>
      </c>
      <c r="O10" s="98" t="s">
        <v>301</v>
      </c>
      <c r="P10" s="98" t="s">
        <v>302</v>
      </c>
      <c r="Q10" s="98" t="s">
        <v>303</v>
      </c>
      <c r="R10" s="98" t="s">
        <v>304</v>
      </c>
      <c r="S10" s="98" t="s">
        <v>305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9513.39</v>
      </c>
      <c r="J11" s="198">
        <f>I11+I19</f>
        <v>9513.39</v>
      </c>
      <c r="K11" s="198">
        <f t="shared" ref="K11:N11" si="0">J11+J19</f>
        <v>9711.7079240963067</v>
      </c>
      <c r="L11" s="198">
        <f t="shared" si="0"/>
        <v>9711.7079240963067</v>
      </c>
      <c r="M11" s="198">
        <f t="shared" si="0"/>
        <v>9711.7079240963067</v>
      </c>
      <c r="N11" s="198">
        <f t="shared" si="0"/>
        <v>9711.7079240963067</v>
      </c>
      <c r="O11" s="198">
        <f t="shared" ref="O11" si="1">N11+N19</f>
        <v>9711.7079240963067</v>
      </c>
      <c r="P11" s="198">
        <f t="shared" ref="P11" si="2">O11+O19</f>
        <v>9711.7079240963067</v>
      </c>
      <c r="Q11" s="198">
        <f t="shared" ref="Q11" si="3">P11+P19</f>
        <v>9711.7079240963067</v>
      </c>
      <c r="R11" s="198">
        <f t="shared" ref="R11" si="4">Q11+Q19</f>
        <v>9711.7079240963067</v>
      </c>
      <c r="S11" s="198">
        <f t="shared" ref="S11" si="5">R11+R19</f>
        <v>9711.7079240963067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-400.37624999999997</v>
      </c>
      <c r="I12" s="199">
        <f>-I11*I13</f>
        <v>-713.50424999999996</v>
      </c>
      <c r="J12" s="199">
        <f t="shared" ref="J12:S12" si="6">-J11*J13</f>
        <v>-713.50424999999996</v>
      </c>
      <c r="K12" s="199">
        <f t="shared" si="6"/>
        <v>-728.37809430722302</v>
      </c>
      <c r="L12" s="199">
        <f t="shared" si="6"/>
        <v>-728.37809430722302</v>
      </c>
      <c r="M12" s="199">
        <f t="shared" si="6"/>
        <v>-728.37809430722302</v>
      </c>
      <c r="N12" s="199">
        <f t="shared" si="6"/>
        <v>-728.37809430722302</v>
      </c>
      <c r="O12" s="199">
        <f t="shared" si="6"/>
        <v>-728.37809430722302</v>
      </c>
      <c r="P12" s="199">
        <f t="shared" si="6"/>
        <v>-728.37809430722302</v>
      </c>
      <c r="Q12" s="199">
        <f t="shared" si="6"/>
        <v>-728.37809430722302</v>
      </c>
      <c r="R12" s="199">
        <f t="shared" si="6"/>
        <v>-728.37809430722302</v>
      </c>
      <c r="S12" s="199">
        <f t="shared" si="6"/>
        <v>-728.37809430722302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24" t="s">
        <v>257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165</v>
      </c>
      <c r="G17" s="6" t="s">
        <v>173</v>
      </c>
      <c r="H17" s="98" t="s">
        <v>184</v>
      </c>
      <c r="I17" s="98" t="s">
        <v>183</v>
      </c>
      <c r="J17" s="98" t="s">
        <v>185</v>
      </c>
      <c r="K17" s="98" t="s">
        <v>186</v>
      </c>
      <c r="L17" s="98" t="s">
        <v>187</v>
      </c>
      <c r="M17" s="98" t="s">
        <v>188</v>
      </c>
      <c r="N17" s="98" t="s">
        <v>189</v>
      </c>
      <c r="O17" s="98" t="s">
        <v>269</v>
      </c>
      <c r="P17" s="98" t="s">
        <v>270</v>
      </c>
      <c r="Q17" s="98" t="s">
        <v>271</v>
      </c>
      <c r="R17" s="98" t="s">
        <v>272</v>
      </c>
      <c r="S17" s="98" t="s">
        <v>273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2972.7125278555859</v>
      </c>
      <c r="I18" s="197"/>
      <c r="J18" s="197">
        <f>'Cash Flow'!J20</f>
        <v>-396.63584819261541</v>
      </c>
      <c r="K18" s="197">
        <f>'Cash Flow'!K20</f>
        <v>10190.671314179541</v>
      </c>
      <c r="L18" s="197">
        <f>'Cash Flow'!L20</f>
        <v>8651.0996903322593</v>
      </c>
      <c r="M18" s="197">
        <f>'Cash Flow'!M20</f>
        <v>10838.520912761629</v>
      </c>
      <c r="N18" s="197">
        <f>'Cash Flow'!N20</f>
        <v>3029.8090401795162</v>
      </c>
      <c r="O18" s="197">
        <f>'Cash Flow'!O20</f>
        <v>3366.4672239853135</v>
      </c>
      <c r="P18" s="197">
        <f>'Cash Flow'!P20</f>
        <v>1574.5603900865262</v>
      </c>
      <c r="Q18" s="197">
        <f>'Cash Flow'!Q20</f>
        <v>1645.9637413920509</v>
      </c>
      <c r="R18" s="197">
        <f>'Cash Flow'!R20</f>
        <v>630.30884397338195</v>
      </c>
      <c r="S18" s="197">
        <f>'Cash Flow'!S20</f>
        <v>618.65818852123812</v>
      </c>
    </row>
    <row r="19" spans="2:19" x14ac:dyDescent="0.2">
      <c r="B19" s="20" t="s">
        <v>140</v>
      </c>
      <c r="G19" s="24"/>
      <c r="H19" s="198">
        <f t="shared" ref="H19:J20" si="8">IF(H$18&lt;0,-H$18*$C4,0)</f>
        <v>0</v>
      </c>
      <c r="I19" s="198">
        <f t="shared" si="8"/>
        <v>0</v>
      </c>
      <c r="J19" s="198">
        <f t="shared" si="8"/>
        <v>198.31792409630771</v>
      </c>
      <c r="K19" s="198">
        <f t="shared" ref="K19:S19" si="9">IF(K$18&lt;0,-K$18*$C4,0)</f>
        <v>0</v>
      </c>
      <c r="L19" s="198">
        <f t="shared" si="9"/>
        <v>0</v>
      </c>
      <c r="M19" s="198">
        <f t="shared" si="9"/>
        <v>0</v>
      </c>
      <c r="N19" s="198">
        <f t="shared" si="9"/>
        <v>0</v>
      </c>
      <c r="O19" s="198">
        <f t="shared" si="9"/>
        <v>0</v>
      </c>
      <c r="P19" s="198">
        <f t="shared" si="9"/>
        <v>0</v>
      </c>
      <c r="Q19" s="198">
        <f t="shared" si="9"/>
        <v>0</v>
      </c>
      <c r="R19" s="198">
        <f t="shared" si="9"/>
        <v>0</v>
      </c>
      <c r="S19" s="198">
        <f t="shared" si="9"/>
        <v>0</v>
      </c>
    </row>
    <row r="20" spans="2:19" x14ac:dyDescent="0.2">
      <c r="B20" s="20" t="s">
        <v>116</v>
      </c>
      <c r="G20" s="24"/>
      <c r="H20" s="198">
        <f t="shared" si="8"/>
        <v>0</v>
      </c>
      <c r="I20" s="198">
        <f t="shared" si="8"/>
        <v>0</v>
      </c>
      <c r="J20" s="198">
        <f t="shared" si="8"/>
        <v>198.31792409630771</v>
      </c>
      <c r="K20" s="198">
        <f t="shared" ref="K20:S20" si="10">IF(K$18&lt;0,-K$18*$C5,0)</f>
        <v>0</v>
      </c>
      <c r="L20" s="198">
        <f t="shared" si="10"/>
        <v>0</v>
      </c>
      <c r="M20" s="198">
        <f t="shared" si="10"/>
        <v>0</v>
      </c>
      <c r="N20" s="198">
        <f t="shared" si="10"/>
        <v>0</v>
      </c>
      <c r="O20" s="198">
        <f t="shared" si="10"/>
        <v>0</v>
      </c>
      <c r="P20" s="198">
        <f t="shared" si="10"/>
        <v>0</v>
      </c>
      <c r="Q20" s="198">
        <f t="shared" si="10"/>
        <v>0</v>
      </c>
      <c r="R20" s="198">
        <f t="shared" si="10"/>
        <v>0</v>
      </c>
      <c r="S20" s="198">
        <f t="shared" si="10"/>
        <v>0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362</v>
      </c>
      <c r="C6" s="20">
        <f>Drivers!C9</f>
        <v>0.78</v>
      </c>
    </row>
    <row r="7" spans="2:19" x14ac:dyDescent="0.2">
      <c r="B7" s="20" t="s">
        <v>265</v>
      </c>
      <c r="C7" s="46">
        <f>Drivers!C12</f>
        <v>0.3</v>
      </c>
    </row>
    <row r="9" spans="2:19" ht="12" x14ac:dyDescent="0.25">
      <c r="B9" s="30" t="s">
        <v>157</v>
      </c>
      <c r="C9" s="31">
        <f>C4+C5*C6</f>
        <v>6.9700000000000012E-2</v>
      </c>
    </row>
    <row r="10" spans="2:19" ht="12" x14ac:dyDescent="0.25">
      <c r="B10" s="30" t="s">
        <v>363</v>
      </c>
      <c r="C10" s="31">
        <f>Drivers!C11</f>
        <v>7.4999999999999997E-2</v>
      </c>
    </row>
    <row r="13" spans="2:19" ht="12" x14ac:dyDescent="0.2">
      <c r="C13" s="224" t="s">
        <v>255</v>
      </c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ht="28.2" customHeight="1" x14ac:dyDescent="0.25">
      <c r="B14" s="5" t="s">
        <v>260</v>
      </c>
      <c r="C14" s="6" t="s">
        <v>239</v>
      </c>
      <c r="D14" s="6" t="s">
        <v>240</v>
      </c>
      <c r="E14" s="6" t="s">
        <v>241</v>
      </c>
      <c r="F14" s="6" t="s">
        <v>244</v>
      </c>
      <c r="G14" s="6" t="s">
        <v>242</v>
      </c>
      <c r="H14" s="98"/>
      <c r="I14" s="98" t="s">
        <v>295</v>
      </c>
      <c r="J14" s="98" t="s">
        <v>296</v>
      </c>
      <c r="K14" s="98" t="s">
        <v>297</v>
      </c>
      <c r="L14" s="98" t="s">
        <v>298</v>
      </c>
      <c r="M14" s="98" t="s">
        <v>299</v>
      </c>
      <c r="N14" s="98" t="s">
        <v>300</v>
      </c>
      <c r="O14" s="98" t="s">
        <v>301</v>
      </c>
      <c r="P14" s="98" t="s">
        <v>302</v>
      </c>
      <c r="Q14" s="98" t="s">
        <v>303</v>
      </c>
      <c r="R14" s="98" t="s">
        <v>304</v>
      </c>
      <c r="S14" s="98" t="s">
        <v>305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11616.575000000001</v>
      </c>
      <c r="J15" s="165">
        <f>'Balance Sheet'!J28</f>
        <v>11814.892924096308</v>
      </c>
      <c r="K15" s="165">
        <f>'Balance Sheet'!K28</f>
        <v>11814.892924096308</v>
      </c>
      <c r="L15" s="165">
        <f>'Balance Sheet'!L28</f>
        <v>11814.892924096308</v>
      </c>
      <c r="M15" s="165">
        <f>'Balance Sheet'!M28</f>
        <v>11814.892924096308</v>
      </c>
      <c r="N15" s="165">
        <f>'Balance Sheet'!N28</f>
        <v>11814.892924096308</v>
      </c>
      <c r="O15" s="165">
        <f>'Balance Sheet'!O28</f>
        <v>11814.892924096308</v>
      </c>
      <c r="P15" s="165">
        <f>'Balance Sheet'!P28</f>
        <v>11814.892924096308</v>
      </c>
      <c r="Q15" s="165">
        <f>'Balance Sheet'!Q28</f>
        <v>11814.892924096308</v>
      </c>
      <c r="R15" s="165">
        <f>'Balance Sheet'!R28</f>
        <v>11814.892924096308</v>
      </c>
      <c r="S15" s="165">
        <f>'Balance Sheet'!S28</f>
        <v>11814.892924096308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4087.6481711328315</v>
      </c>
      <c r="J16" s="165">
        <f>'Balance Sheet'!J32</f>
        <v>4235.7455911665711</v>
      </c>
      <c r="K16" s="165">
        <f>'Balance Sheet'!K32</f>
        <v>4693.5693677454592</v>
      </c>
      <c r="L16" s="165">
        <f>'Balance Sheet'!L32</f>
        <v>5659.3052693674963</v>
      </c>
      <c r="M16" s="165">
        <f>'Balance Sheet'!M32</f>
        <v>7229.9230602897496</v>
      </c>
      <c r="N16" s="165">
        <f>'Balance Sheet'!N32</f>
        <v>8971.3862942728865</v>
      </c>
      <c r="O16" s="165">
        <f>'Balance Sheet'!O32</f>
        <v>10899.965547052949</v>
      </c>
      <c r="P16" s="165">
        <f>'Balance Sheet'!P32</f>
        <v>12937.780000353261</v>
      </c>
      <c r="Q16" s="165">
        <f>'Balance Sheet'!Q32</f>
        <v>15090.064436137718</v>
      </c>
      <c r="R16" s="165">
        <f>'Balance Sheet'!R32</f>
        <v>17298.598815002133</v>
      </c>
      <c r="S16" s="165">
        <f>'Balance Sheet'!S32</f>
        <v>19564.68855347078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158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0.73971025968055149</v>
      </c>
      <c r="J18" s="208">
        <f t="shared" si="1"/>
        <v>0.73610111603107165</v>
      </c>
      <c r="K18" s="208">
        <f t="shared" si="1"/>
        <v>0.71568706492639533</v>
      </c>
      <c r="L18" s="208">
        <f t="shared" si="1"/>
        <v>0.67613362245803366</v>
      </c>
      <c r="M18" s="208">
        <f t="shared" si="1"/>
        <v>0.62037317313975515</v>
      </c>
      <c r="N18" s="208">
        <f t="shared" si="1"/>
        <v>0.56839864412363339</v>
      </c>
      <c r="O18" s="208">
        <f t="shared" ref="O18:S18" si="2">O15/(O$15+O$16)</f>
        <v>0.52013940298605499</v>
      </c>
      <c r="P18" s="208">
        <f t="shared" si="2"/>
        <v>0.47731786220251354</v>
      </c>
      <c r="Q18" s="208">
        <f t="shared" si="2"/>
        <v>0.43913442292084492</v>
      </c>
      <c r="R18" s="208">
        <f t="shared" si="2"/>
        <v>0.40582191342680152</v>
      </c>
      <c r="S18" s="208">
        <f t="shared" si="2"/>
        <v>0.37651531243470032</v>
      </c>
    </row>
    <row r="19" spans="2:19" x14ac:dyDescent="0.2">
      <c r="B19" s="20" t="s">
        <v>159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0.26028974031944857</v>
      </c>
      <c r="J19" s="208">
        <f t="shared" si="1"/>
        <v>0.26389888396892835</v>
      </c>
      <c r="K19" s="208">
        <f t="shared" si="1"/>
        <v>0.28431293507360467</v>
      </c>
      <c r="L19" s="208">
        <f t="shared" si="1"/>
        <v>0.32386637754196645</v>
      </c>
      <c r="M19" s="208">
        <f t="shared" si="1"/>
        <v>0.3796268268602449</v>
      </c>
      <c r="N19" s="208">
        <f t="shared" si="1"/>
        <v>0.43160135587636667</v>
      </c>
      <c r="O19" s="208">
        <f t="shared" ref="O19:S19" si="3">O16/(O$15+O$16)</f>
        <v>0.47986059701394496</v>
      </c>
      <c r="P19" s="208">
        <f t="shared" si="3"/>
        <v>0.5226821377974864</v>
      </c>
      <c r="Q19" s="208">
        <f t="shared" si="3"/>
        <v>0.56086557707915508</v>
      </c>
      <c r="R19" s="208">
        <f t="shared" si="3"/>
        <v>0.59417808657319848</v>
      </c>
      <c r="S19" s="208">
        <f t="shared" si="3"/>
        <v>0.62348468756529962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157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256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5.6976983533494521E-2</v>
      </c>
      <c r="J24" s="209">
        <f t="shared" ref="J24:N24" si="7">J18*J22*(1-$C$7)+J19*J21</f>
        <v>5.7039060804265573E-2</v>
      </c>
      <c r="K24" s="209">
        <f t="shared" si="7"/>
        <v>5.7390182483265995E-2</v>
      </c>
      <c r="L24" s="209">
        <f t="shared" si="7"/>
        <v>5.8070501693721827E-2</v>
      </c>
      <c r="M24" s="209">
        <f t="shared" si="7"/>
        <v>5.9029581421996213E-2</v>
      </c>
      <c r="N24" s="209">
        <f t="shared" si="7"/>
        <v>5.9923543321073511E-2</v>
      </c>
      <c r="O24" s="209">
        <f t="shared" ref="O24:S24" si="8">O18*O22*(1-$C$7)+O19*O21</f>
        <v>6.0753602268639857E-2</v>
      </c>
      <c r="P24" s="209">
        <f t="shared" si="8"/>
        <v>6.1490132770116765E-2</v>
      </c>
      <c r="Q24" s="209">
        <f t="shared" si="8"/>
        <v>6.2146887925761472E-2</v>
      </c>
      <c r="R24" s="209">
        <f t="shared" si="8"/>
        <v>6.2719863089059025E-2</v>
      </c>
      <c r="S24" s="209">
        <f t="shared" si="8"/>
        <v>6.3223936626123162E-2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opLeftCell="C1" workbookViewId="0">
      <selection activeCell="W12" sqref="W12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24" t="s">
        <v>258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-8555.197457912911</v>
      </c>
      <c r="I6" s="161">
        <f>G6+H6</f>
        <v>-14890.723457912911</v>
      </c>
      <c r="J6" s="169">
        <f>'Cost of sales Energy &amp; Other'!J9+'Cost of sales automotive'!J11</f>
        <v>-19513.198063046879</v>
      </c>
      <c r="K6" s="169">
        <f>'Cost of sales Energy &amp; Other'!K9+'Cost of sales automotive'!K11</f>
        <v>-34946.429463471555</v>
      </c>
      <c r="L6" s="169">
        <f>'Cost of sales Energy &amp; Other'!L9+'Cost of sales automotive'!L11</f>
        <v>-46130.405455729357</v>
      </c>
      <c r="M6" s="169">
        <f>'Cost of sales Energy &amp; Other'!M9+'Cost of sales automotive'!M11</f>
        <v>-59319.384717061999</v>
      </c>
      <c r="N6" s="169">
        <f>'Cost of sales Energy &amp; Other'!N9+'Cost of sales automotive'!N11</f>
        <v>-63579.175616384266</v>
      </c>
      <c r="O6" s="169">
        <f>'Cost of sales Energy &amp; Other'!O9+'Cost of sales automotive'!O11</f>
        <v>-68198.362936095145</v>
      </c>
      <c r="P6" s="169">
        <f>'Cost of sales Energy &amp; Other'!P9+'Cost of sales automotive'!P11</f>
        <v>-70794.369418535076</v>
      </c>
      <c r="Q6" s="169">
        <f>'Cost of sales Energy &amp; Other'!Q9+'Cost of sales automotive'!Q11</f>
        <v>-73505.401696395842</v>
      </c>
      <c r="R6" s="169">
        <f>'Cost of sales Energy &amp; Other'!R9+'Cost of sales automotive'!R11</f>
        <v>-75144.465977623404</v>
      </c>
      <c r="S6" s="169">
        <f>'Cost of sales Energy &amp; Other'!S9+'Cost of sales automotive'!S11</f>
        <v>-76826.44891931348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2022.0365420870894</v>
      </c>
      <c r="I7" s="163">
        <f t="shared" si="0"/>
        <v>3097.4925420870895</v>
      </c>
      <c r="J7" s="163">
        <f t="shared" ref="J7:S7" si="1">SUM(J5:J6)</f>
        <v>3543.4748169531231</v>
      </c>
      <c r="K7" s="163">
        <f t="shared" si="1"/>
        <v>6568.3511145094017</v>
      </c>
      <c r="L7" s="163">
        <f t="shared" si="1"/>
        <v>8994.0292238188777</v>
      </c>
      <c r="M7" s="163">
        <f t="shared" si="1"/>
        <v>11864.224508565254</v>
      </c>
      <c r="N7" s="163">
        <f t="shared" si="1"/>
        <v>12751.214464150253</v>
      </c>
      <c r="O7" s="163">
        <f t="shared" si="1"/>
        <v>13716.069941258029</v>
      </c>
      <c r="P7" s="163">
        <f t="shared" si="1"/>
        <v>14264.976098612562</v>
      </c>
      <c r="Q7" s="163">
        <f t="shared" si="1"/>
        <v>14838.847959453895</v>
      </c>
      <c r="R7" s="163">
        <f t="shared" si="1"/>
        <v>15164.652272189705</v>
      </c>
      <c r="S7" s="163">
        <f t="shared" si="1"/>
        <v>15498.714312393087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-779.08857886716851</v>
      </c>
      <c r="I9" s="163">
        <f t="shared" si="0"/>
        <v>-1997.4545788671685</v>
      </c>
      <c r="J9" s="163">
        <f t="shared" ref="J9:S9" si="3">SUM(J7:J8)</f>
        <v>663.28374593743229</v>
      </c>
      <c r="K9" s="163">
        <f t="shared" si="3"/>
        <v>1382.4120608484918</v>
      </c>
      <c r="L9" s="163">
        <f t="shared" si="3"/>
        <v>2108.0008109101327</v>
      </c>
      <c r="M9" s="163">
        <f t="shared" si="3"/>
        <v>2972.1177956247284</v>
      </c>
      <c r="N9" s="163">
        <f t="shared" si="3"/>
        <v>3216.1827142831335</v>
      </c>
      <c r="O9" s="163">
        <f t="shared" si="3"/>
        <v>3483.4913125644543</v>
      </c>
      <c r="P9" s="163">
        <f t="shared" si="3"/>
        <v>3639.5415990219553</v>
      </c>
      <c r="Q9" s="163">
        <f t="shared" si="3"/>
        <v>3803.0701454278751</v>
      </c>
      <c r="R9" s="163">
        <f t="shared" si="3"/>
        <v>3883.4272069706749</v>
      </c>
      <c r="S9" s="163">
        <f t="shared" si="3"/>
        <v>3965.6491492624318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-400.37624999999997</v>
      </c>
      <c r="I10" s="161">
        <f>Financing!I12</f>
        <v>-713.50424999999996</v>
      </c>
      <c r="J10" s="161">
        <f>Financing!J12</f>
        <v>-713.50424999999996</v>
      </c>
      <c r="K10" s="161">
        <f>Financing!K12</f>
        <v>-728.37809430722302</v>
      </c>
      <c r="L10" s="161">
        <f>Financing!L12</f>
        <v>-728.37809430722302</v>
      </c>
      <c r="M10" s="161">
        <f>Financing!M12</f>
        <v>-728.37809430722302</v>
      </c>
      <c r="N10" s="161">
        <f>Financing!N12</f>
        <v>-728.37809430722302</v>
      </c>
      <c r="O10" s="161">
        <f>Financing!O12</f>
        <v>-728.37809430722302</v>
      </c>
      <c r="P10" s="161">
        <f>Financing!P12</f>
        <v>-728.37809430722302</v>
      </c>
      <c r="Q10" s="161">
        <f>Financing!Q12</f>
        <v>-728.37809430722302</v>
      </c>
      <c r="R10" s="161">
        <f>Financing!R12</f>
        <v>-728.37809430722302</v>
      </c>
      <c r="S10" s="161">
        <f>Financing!S12</f>
        <v>-728.37809430722302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-1179.4648288671685</v>
      </c>
      <c r="I11" s="163">
        <f t="shared" si="4"/>
        <v>-2710.9588288671684</v>
      </c>
      <c r="J11" s="163">
        <f t="shared" si="4"/>
        <v>-50.22050406256767</v>
      </c>
      <c r="K11" s="163">
        <f t="shared" si="4"/>
        <v>654.0339665412688</v>
      </c>
      <c r="L11" s="163">
        <f t="shared" si="4"/>
        <v>1379.6227166029098</v>
      </c>
      <c r="M11" s="163">
        <f t="shared" si="4"/>
        <v>2243.7397013175055</v>
      </c>
      <c r="N11" s="163">
        <f t="shared" si="4"/>
        <v>2487.8046199759106</v>
      </c>
      <c r="O11" s="163">
        <f t="shared" si="4"/>
        <v>2755.1132182572314</v>
      </c>
      <c r="P11" s="163">
        <f t="shared" si="4"/>
        <v>2911.1635047147324</v>
      </c>
      <c r="Q11" s="163">
        <f t="shared" si="4"/>
        <v>3074.6920511206522</v>
      </c>
      <c r="R11" s="163">
        <f t="shared" si="4"/>
        <v>3155.049112663452</v>
      </c>
      <c r="S11" s="163">
        <f t="shared" si="4"/>
        <v>3237.2710549552089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-196.21018996238064</v>
      </c>
      <c r="L12" s="165">
        <f>IF(L11&gt;0,-L11*Drivers!$C$12,0)</f>
        <v>-413.88681498087294</v>
      </c>
      <c r="M12" s="165">
        <f>IF(M11&gt;0,-M11*Drivers!$C$12,0)</f>
        <v>-673.12191039525158</v>
      </c>
      <c r="N12" s="165">
        <f>IF(N11&gt;0,-N11*Drivers!$C$12,0)</f>
        <v>-746.3413859927731</v>
      </c>
      <c r="O12" s="165">
        <f>IF(O11&gt;0,-O11*Drivers!$C$12,0)</f>
        <v>-826.53396547716943</v>
      </c>
      <c r="P12" s="165">
        <f>IF(P11&gt;0,-P11*Drivers!$C$12,0)</f>
        <v>-873.3490514144197</v>
      </c>
      <c r="Q12" s="165">
        <f>IF(Q11&gt;0,-Q11*Drivers!$C$12,0)</f>
        <v>-922.40761533619559</v>
      </c>
      <c r="R12" s="165">
        <f>IF(R11&gt;0,-R11*Drivers!$C$12,0)</f>
        <v>-946.51473379903553</v>
      </c>
      <c r="S12" s="165">
        <f>IF(S11&gt;0,-S11*Drivers!$C$12,0)</f>
        <v>-971.18131648656265</v>
      </c>
    </row>
    <row r="13" spans="2:19" x14ac:dyDescent="0.25">
      <c r="B13" s="25" t="s">
        <v>263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-1179.4648288671685</v>
      </c>
      <c r="I14" s="127">
        <f t="shared" si="6"/>
        <v>-2710.9588288671684</v>
      </c>
      <c r="J14" s="127">
        <f t="shared" si="6"/>
        <v>-50.22050406256767</v>
      </c>
      <c r="K14" s="127">
        <f t="shared" si="6"/>
        <v>457.82377657888816</v>
      </c>
      <c r="L14" s="127">
        <f t="shared" si="6"/>
        <v>965.73590162203686</v>
      </c>
      <c r="M14" s="127">
        <f t="shared" si="6"/>
        <v>1570.6177909222538</v>
      </c>
      <c r="N14" s="127">
        <f t="shared" si="6"/>
        <v>1741.4632339831373</v>
      </c>
      <c r="O14" s="127">
        <f t="shared" ref="O14:S14" si="7">SUM(O11:O13)</f>
        <v>1928.579252780062</v>
      </c>
      <c r="P14" s="127">
        <f t="shared" si="7"/>
        <v>2037.8144533003128</v>
      </c>
      <c r="Q14" s="127">
        <f t="shared" si="7"/>
        <v>2152.2844357844565</v>
      </c>
      <c r="R14" s="127">
        <f t="shared" si="7"/>
        <v>2208.5343788644163</v>
      </c>
      <c r="S14" s="127">
        <f t="shared" si="7"/>
        <v>2266.0897384686464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262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3" workbookViewId="0">
      <selection activeCell="S31" sqref="S3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259</v>
      </c>
    </row>
    <row r="2" spans="2:21" ht="15.6" x14ac:dyDescent="0.3">
      <c r="B2" s="18"/>
    </row>
    <row r="3" spans="2:21" x14ac:dyDescent="0.25">
      <c r="C3" s="224" t="s">
        <v>264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21" s="8" customFormat="1" ht="24" x14ac:dyDescent="0.25">
      <c r="B4" s="5" t="s">
        <v>260</v>
      </c>
      <c r="C4" s="6" t="s">
        <v>239</v>
      </c>
      <c r="D4" s="6" t="s">
        <v>240</v>
      </c>
      <c r="E4" s="6" t="s">
        <v>241</v>
      </c>
      <c r="F4" s="6" t="s">
        <v>244</v>
      </c>
      <c r="G4" s="6" t="s">
        <v>242</v>
      </c>
      <c r="H4" s="98"/>
      <c r="I4" s="98" t="s">
        <v>295</v>
      </c>
      <c r="J4" s="98" t="s">
        <v>296</v>
      </c>
      <c r="K4" s="98" t="s">
        <v>297</v>
      </c>
      <c r="L4" s="98" t="s">
        <v>298</v>
      </c>
      <c r="M4" s="98" t="s">
        <v>299</v>
      </c>
      <c r="N4" s="98" t="s">
        <v>300</v>
      </c>
      <c r="O4" s="98" t="s">
        <v>301</v>
      </c>
      <c r="P4" s="98" t="s">
        <v>302</v>
      </c>
      <c r="Q4" s="98" t="s">
        <v>303</v>
      </c>
      <c r="R4" s="98" t="s">
        <v>304</v>
      </c>
      <c r="S4" s="98" t="s">
        <v>305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4808.7602778555865</v>
      </c>
      <c r="J5" s="161">
        <f>I5+'Cash Flow'!J28</f>
        <v>4294.2411516368156</v>
      </c>
      <c r="K5" s="161">
        <f>J5+'Cash Flow'!K28</f>
        <v>13975.047799801299</v>
      </c>
      <c r="L5" s="161">
        <f>K5+'Cash Flow'!L28</f>
        <v>22116.282824118502</v>
      </c>
      <c r="M5" s="161">
        <f>L5+'Cash Flow'!M28</f>
        <v>32444.939070865075</v>
      </c>
      <c r="N5" s="161">
        <f>M5+'Cash Flow'!N28</f>
        <v>34964.883445029533</v>
      </c>
      <c r="O5" s="161">
        <f>N5+'Cash Flow'!O28</f>
        <v>37821.486002999787</v>
      </c>
      <c r="P5" s="161">
        <f>O5+'Cash Flow'!P28</f>
        <v>38886.181727071256</v>
      </c>
      <c r="Q5" s="161">
        <f>P5+'Cash Flow'!Q28</f>
        <v>40022.280802448251</v>
      </c>
      <c r="R5" s="161">
        <f>Q5+'Cash Flow'!R28</f>
        <v>40142.72498040658</v>
      </c>
      <c r="S5" s="161">
        <f>R5+'Cash Flow'!S28</f>
        <v>40251.518502912761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0</v>
      </c>
      <c r="J7" s="202">
        <f>'Working capital'!J5</f>
        <v>0</v>
      </c>
      <c r="K7" s="202">
        <f>'Working capital'!K5</f>
        <v>0</v>
      </c>
      <c r="L7" s="202">
        <f>'Working capital'!L5</f>
        <v>0</v>
      </c>
      <c r="M7" s="202">
        <f>'Working capital'!M5</f>
        <v>0</v>
      </c>
      <c r="N7" s="202">
        <f>'Working capital'!N5</f>
        <v>0</v>
      </c>
      <c r="O7" s="202">
        <f>'Working capital'!O5</f>
        <v>0</v>
      </c>
      <c r="P7" s="202">
        <f>'Working capital'!P5</f>
        <v>0</v>
      </c>
      <c r="Q7" s="202">
        <f>'Working capital'!Q5</f>
        <v>0</v>
      </c>
      <c r="R7" s="202">
        <f>'Working capital'!R5</f>
        <v>0</v>
      </c>
      <c r="S7" s="202">
        <f>'Working capital'!S5</f>
        <v>0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0</v>
      </c>
      <c r="J8" s="202">
        <f>'Working capital'!J6</f>
        <v>0</v>
      </c>
      <c r="K8" s="202">
        <f>'Working capital'!K6</f>
        <v>0</v>
      </c>
      <c r="L8" s="202">
        <f>'Working capital'!L6</f>
        <v>0</v>
      </c>
      <c r="M8" s="202">
        <f>'Working capital'!M6</f>
        <v>0</v>
      </c>
      <c r="N8" s="202">
        <f>'Working capital'!N6</f>
        <v>0</v>
      </c>
      <c r="O8" s="202">
        <f>'Working capital'!O6</f>
        <v>0</v>
      </c>
      <c r="P8" s="202">
        <f>'Working capital'!P6</f>
        <v>0</v>
      </c>
      <c r="Q8" s="202">
        <f>'Working capital'!Q6</f>
        <v>0</v>
      </c>
      <c r="R8" s="202">
        <f>'Working capital'!R6</f>
        <v>0</v>
      </c>
      <c r="S8" s="202">
        <f>'Working capital'!S6</f>
        <v>0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14637.79562666667</v>
      </c>
      <c r="J13" s="161">
        <f>'PP&amp;E'!J10</f>
        <v>19126.71961884445</v>
      </c>
      <c r="K13" s="161">
        <f>'PP&amp;E'!K10</f>
        <v>23116.006853632007</v>
      </c>
      <c r="L13" s="161">
        <f>'PP&amp;E'!L10</f>
        <v>25682.266148777537</v>
      </c>
      <c r="M13" s="161">
        <f>'PP&amp;E'!M10</f>
        <v>28419.347087635142</v>
      </c>
      <c r="N13" s="161">
        <f>'PP&amp;E'!N10</f>
        <v>31324.919586429129</v>
      </c>
      <c r="O13" s="161">
        <f>'PP&amp;E'!O10</f>
        <v>34393.940990496194</v>
      </c>
      <c r="P13" s="161">
        <f>'PP&amp;E'!P10</f>
        <v>37618.180795503387</v>
      </c>
      <c r="Q13" s="161">
        <f>'PP&amp;E'!Q10</f>
        <v>40985.69281757198</v>
      </c>
      <c r="R13" s="161">
        <f>'PP&amp;E'!R10</f>
        <v>44480.231339819991</v>
      </c>
      <c r="S13" s="161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31647.349425779295</v>
      </c>
      <c r="J17" s="127">
        <f t="shared" si="6"/>
        <v>36485.986119378998</v>
      </c>
      <c r="K17" s="127">
        <f t="shared" si="6"/>
        <v>53303.405614108706</v>
      </c>
      <c r="L17" s="127">
        <f t="shared" si="6"/>
        <v>66331.506878885935</v>
      </c>
      <c r="M17" s="127">
        <f t="shared" si="6"/>
        <v>82135.523208804094</v>
      </c>
      <c r="N17" s="127">
        <f t="shared" si="6"/>
        <v>88438.627073230178</v>
      </c>
      <c r="O17" s="127">
        <f t="shared" si="6"/>
        <v>95316.396358030586</v>
      </c>
      <c r="P17" s="127">
        <f t="shared" si="6"/>
        <v>100141.57667774458</v>
      </c>
      <c r="Q17" s="127">
        <f t="shared" si="6"/>
        <v>105205.30277165335</v>
      </c>
      <c r="R17" s="127">
        <f t="shared" si="6"/>
        <v>109155.31879980127</v>
      </c>
      <c r="S17" s="127">
        <f t="shared" si="6"/>
        <v>113208.24830500242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0</v>
      </c>
      <c r="J19" s="161">
        <f>'Working capital'!J7</f>
        <v>0</v>
      </c>
      <c r="K19" s="161">
        <f>'Working capital'!K7</f>
        <v>0</v>
      </c>
      <c r="L19" s="161">
        <f>'Working capital'!L7</f>
        <v>0</v>
      </c>
      <c r="M19" s="161">
        <f>'Working capital'!M7</f>
        <v>0</v>
      </c>
      <c r="N19" s="161">
        <f>'Working capital'!N7</f>
        <v>0</v>
      </c>
      <c r="O19" s="161">
        <f>'Working capital'!O7</f>
        <v>0</v>
      </c>
      <c r="P19" s="161">
        <f>'Working capital'!P7</f>
        <v>0</v>
      </c>
      <c r="Q19" s="161">
        <f>'Working capital'!Q7</f>
        <v>0</v>
      </c>
      <c r="R19" s="161">
        <f>'Working capital'!R7</f>
        <v>0</v>
      </c>
      <c r="S19" s="161">
        <f>'Working capital'!S7</f>
        <v>0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2287.4929800617629</v>
      </c>
      <c r="J20" s="161">
        <f>J21*('P&amp;L'!J$5)</f>
        <v>2932.029355027782</v>
      </c>
      <c r="K20" s="161">
        <f>K21*('P&amp;L'!K$5)</f>
        <v>5279.2766742925396</v>
      </c>
      <c r="L20" s="161">
        <f>L21*('P&amp;L'!L$5)</f>
        <v>7009.9645990096942</v>
      </c>
      <c r="M20" s="161">
        <f>M21*('P&amp;L'!M$5)</f>
        <v>9052.1487177540057</v>
      </c>
      <c r="N20" s="161">
        <f>N21*('P&amp;L'!N$5)</f>
        <v>9706.6452545710326</v>
      </c>
      <c r="O20" s="161">
        <f>O21*('P&amp;L'!O$5)</f>
        <v>10416.746728674252</v>
      </c>
      <c r="P20" s="161">
        <f>P21*('P&amp;L'!P$5)</f>
        <v>10816.673302073046</v>
      </c>
      <c r="Q20" s="161">
        <f>Q21*('P&amp;L'!Q$5)</f>
        <v>11234.402061693059</v>
      </c>
      <c r="R20" s="161">
        <f>R21*('P&amp;L'!R$5)</f>
        <v>11484.266924080472</v>
      </c>
      <c r="S20" s="161">
        <f>S21*('P&amp;L'!S$5)</f>
        <v>11740.639692984849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AVERAGE($C$21:$F$21)</f>
        <v>0.12716619480563068</v>
      </c>
      <c r="J21" s="196">
        <f t="shared" ref="J21:S21" si="7">AVERAGE($C$21:$F$21)</f>
        <v>0.12716619480563068</v>
      </c>
      <c r="K21" s="196">
        <f t="shared" si="7"/>
        <v>0.12716619480563068</v>
      </c>
      <c r="L21" s="196">
        <f t="shared" si="7"/>
        <v>0.12716619480563068</v>
      </c>
      <c r="M21" s="196">
        <f t="shared" si="7"/>
        <v>0.12716619480563068</v>
      </c>
      <c r="N21" s="196">
        <f t="shared" si="7"/>
        <v>0.12716619480563068</v>
      </c>
      <c r="O21" s="196">
        <f t="shared" si="7"/>
        <v>0.12716619480563068</v>
      </c>
      <c r="P21" s="196">
        <f t="shared" si="7"/>
        <v>0.12716619480563068</v>
      </c>
      <c r="Q21" s="196">
        <f t="shared" si="7"/>
        <v>0.12716619480563068</v>
      </c>
      <c r="R21" s="196">
        <f t="shared" si="7"/>
        <v>0.12716619480563068</v>
      </c>
      <c r="S21" s="196">
        <f t="shared" si="7"/>
        <v>0.12716619480563068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1619.2202650990901</v>
      </c>
      <c r="J22" s="161">
        <f>J23*('P&amp;L'!J$5)</f>
        <v>2075.4605110955195</v>
      </c>
      <c r="K22" s="161">
        <f>K23*('P&amp;L'!K$5)</f>
        <v>3736.9783647810809</v>
      </c>
      <c r="L22" s="161">
        <f>L23*('P&amp;L'!L$5)</f>
        <v>4962.0597025994994</v>
      </c>
      <c r="M22" s="161">
        <f>M23*('P&amp;L'!M$5)</f>
        <v>6407.6361213935943</v>
      </c>
      <c r="N22" s="161">
        <f>N23*('P&amp;L'!N$5)</f>
        <v>6870.9267478954025</v>
      </c>
      <c r="O22" s="161">
        <f>O23*('P&amp;L'!O$5)</f>
        <v>7373.5777755342397</v>
      </c>
      <c r="P22" s="161">
        <f>P23*('P&amp;L'!P$5)</f>
        <v>7656.6690102804459</v>
      </c>
      <c r="Q22" s="161">
        <f>Q23*('P&amp;L'!Q$5)</f>
        <v>7952.3616654216958</v>
      </c>
      <c r="R22" s="161">
        <f>R23*('P&amp;L'!R$5)</f>
        <v>8129.2305136500163</v>
      </c>
      <c r="S22" s="161">
        <f>S23*('P&amp;L'!S$5)</f>
        <v>8310.7060357380997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 t="shared" ref="I23:S23" si="8">AVERAGE($C$23:$F$23)</f>
        <v>9.0015611614797708E-2</v>
      </c>
      <c r="J23" s="196">
        <f t="shared" si="8"/>
        <v>9.0015611614797708E-2</v>
      </c>
      <c r="K23" s="196">
        <f t="shared" si="8"/>
        <v>9.0015611614797708E-2</v>
      </c>
      <c r="L23" s="196">
        <f t="shared" si="8"/>
        <v>9.0015611614797708E-2</v>
      </c>
      <c r="M23" s="196">
        <f t="shared" si="8"/>
        <v>9.0015611614797708E-2</v>
      </c>
      <c r="N23" s="196">
        <f t="shared" si="8"/>
        <v>9.0015611614797708E-2</v>
      </c>
      <c r="O23" s="196">
        <f t="shared" si="8"/>
        <v>9.0015611614797708E-2</v>
      </c>
      <c r="P23" s="196">
        <f t="shared" si="8"/>
        <v>9.0015611614797708E-2</v>
      </c>
      <c r="Q23" s="196">
        <f t="shared" si="8"/>
        <v>9.0015611614797708E-2</v>
      </c>
      <c r="R23" s="196">
        <f t="shared" si="8"/>
        <v>9.0015611614797708E-2</v>
      </c>
      <c r="S23" s="196">
        <f t="shared" si="8"/>
        <v>9.0015611614797708E-2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758.01602225043655</v>
      </c>
      <c r="J24" s="161">
        <f>J25*('P&amp;L'!J$5)</f>
        <v>971.59871011261589</v>
      </c>
      <c r="K24" s="161">
        <f>K25*('P&amp;L'!K$5)</f>
        <v>1749.4157752119947</v>
      </c>
      <c r="L24" s="161">
        <f>L25*('P&amp;L'!L$5)</f>
        <v>2322.9210003146045</v>
      </c>
      <c r="M24" s="161">
        <f>M25*('P&amp;L'!M$5)</f>
        <v>2999.6480092655911</v>
      </c>
      <c r="N24" s="161">
        <f>N25*('P&amp;L'!N$5)</f>
        <v>3216.5312372094572</v>
      </c>
      <c r="O24" s="161">
        <f>O25*('P&amp;L'!O$5)</f>
        <v>3451.840503504719</v>
      </c>
      <c r="P24" s="161">
        <f>P25*('P&amp;L'!P$5)</f>
        <v>3584.365828391974</v>
      </c>
      <c r="Q24" s="161">
        <f>Q25*('P&amp;L'!Q$5)</f>
        <v>3722.7903374535149</v>
      </c>
      <c r="R24" s="161">
        <f>R25*('P&amp;L'!R$5)</f>
        <v>3805.5890916957883</v>
      </c>
      <c r="S24" s="161">
        <f>S25*('P&amp;L'!S$5)</f>
        <v>3890.5443978725002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 t="shared" ref="I25:S25" si="9">AVERAGE($D$25:$F$25)</f>
        <v>4.2139588620152026E-2</v>
      </c>
      <c r="J25" s="196">
        <f t="shared" si="9"/>
        <v>4.2139588620152026E-2</v>
      </c>
      <c r="K25" s="196">
        <f t="shared" si="9"/>
        <v>4.2139588620152026E-2</v>
      </c>
      <c r="L25" s="196">
        <f t="shared" si="9"/>
        <v>4.2139588620152026E-2</v>
      </c>
      <c r="M25" s="196">
        <f t="shared" si="9"/>
        <v>4.2139588620152026E-2</v>
      </c>
      <c r="N25" s="196">
        <f t="shared" si="9"/>
        <v>4.2139588620152026E-2</v>
      </c>
      <c r="O25" s="196">
        <f t="shared" si="9"/>
        <v>4.2139588620152026E-2</v>
      </c>
      <c r="P25" s="196">
        <f t="shared" si="9"/>
        <v>4.2139588620152026E-2</v>
      </c>
      <c r="Q25" s="196">
        <f t="shared" si="9"/>
        <v>4.2139588620152026E-2</v>
      </c>
      <c r="R25" s="196">
        <f t="shared" si="9"/>
        <v>4.2139588620152026E-2</v>
      </c>
      <c r="S25" s="196">
        <f t="shared" si="9"/>
        <v>4.2139588620152026E-2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1430.1937608815713</v>
      </c>
      <c r="J26" s="161">
        <f>J27*('P&amp;L'!J$5)</f>
        <v>1833.1728782700482</v>
      </c>
      <c r="K26" s="161">
        <f>K27*('P&amp;L'!K$5)</f>
        <v>3300.7264404094212</v>
      </c>
      <c r="L26" s="161">
        <f>L27*('P&amp;L'!L$5)</f>
        <v>4382.7927433611876</v>
      </c>
      <c r="M26" s="161">
        <f>M27*('P&amp;L'!M$5)</f>
        <v>5659.6137044120414</v>
      </c>
      <c r="N26" s="161">
        <f>N27*('P&amp;L'!N$5)</f>
        <v>6068.8201464134654</v>
      </c>
      <c r="O26" s="161">
        <f>O27*('P&amp;L'!O$5)</f>
        <v>6512.7920871832293</v>
      </c>
      <c r="P26" s="161">
        <f>P27*('P&amp;L'!P$5)</f>
        <v>6762.8354731394375</v>
      </c>
      <c r="Q26" s="161">
        <f>Q27*('P&amp;L'!Q$5)</f>
        <v>7024.0091995537632</v>
      </c>
      <c r="R26" s="161">
        <f>R27*('P&amp;L'!R$5)</f>
        <v>7180.2305171118005</v>
      </c>
      <c r="S26" s="161">
        <f>S27*('P&amp;L'!S$5)</f>
        <v>7340.5207290350181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AVERAGE($C$27:$F$27)</f>
        <v>7.9507259690542481E-2</v>
      </c>
      <c r="J27" s="196">
        <f t="shared" ref="J27:S27" si="10">AVERAGE($C$27:$F$27)</f>
        <v>7.9507259690542481E-2</v>
      </c>
      <c r="K27" s="196">
        <f t="shared" si="10"/>
        <v>7.9507259690542481E-2</v>
      </c>
      <c r="L27" s="196">
        <f t="shared" si="10"/>
        <v>7.9507259690542481E-2</v>
      </c>
      <c r="M27" s="196">
        <f t="shared" si="10"/>
        <v>7.9507259690542481E-2</v>
      </c>
      <c r="N27" s="196">
        <f t="shared" si="10"/>
        <v>7.9507259690542481E-2</v>
      </c>
      <c r="O27" s="196">
        <f t="shared" si="10"/>
        <v>7.9507259690542481E-2</v>
      </c>
      <c r="P27" s="196">
        <f t="shared" si="10"/>
        <v>7.9507259690542481E-2</v>
      </c>
      <c r="Q27" s="196">
        <f t="shared" si="10"/>
        <v>7.9507259690542481E-2</v>
      </c>
      <c r="R27" s="196">
        <f t="shared" si="10"/>
        <v>7.9507259690542481E-2</v>
      </c>
      <c r="S27" s="196">
        <f t="shared" si="10"/>
        <v>7.9507259690542481E-2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11616.575000000001</v>
      </c>
      <c r="J28" s="161">
        <f>I28+Financing!J19</f>
        <v>11814.892924096308</v>
      </c>
      <c r="K28" s="161">
        <f>J28+Financing!K19</f>
        <v>11814.892924096308</v>
      </c>
      <c r="L28" s="161">
        <f>K28+Financing!L19</f>
        <v>11814.892924096308</v>
      </c>
      <c r="M28" s="161">
        <f>L28+Financing!M19</f>
        <v>11814.892924096308</v>
      </c>
      <c r="N28" s="161">
        <f>M28+Financing!N19</f>
        <v>11814.892924096308</v>
      </c>
      <c r="O28" s="161">
        <f>N28+Financing!O19</f>
        <v>11814.892924096308</v>
      </c>
      <c r="P28" s="161">
        <f>O28+Financing!P19</f>
        <v>11814.892924096308</v>
      </c>
      <c r="Q28" s="161">
        <f>P28+Financing!Q19</f>
        <v>11814.892924096308</v>
      </c>
      <c r="R28" s="161">
        <f>Q28+Financing!R19</f>
        <v>11814.892924096308</v>
      </c>
      <c r="S28" s="161">
        <f>R28+Financing!S19</f>
        <v>11814.892924096308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9848.2032263536021</v>
      </c>
      <c r="J29" s="161">
        <f>J30*('P&amp;L'!J$5)</f>
        <v>12623.086149610146</v>
      </c>
      <c r="K29" s="161">
        <f>K30*('P&amp;L'!K$5)</f>
        <v>22728.5460675719</v>
      </c>
      <c r="L29" s="161">
        <f>L30*('P&amp;L'!L$5)</f>
        <v>30179.57064013715</v>
      </c>
      <c r="M29" s="161">
        <f>M30*('P&amp;L'!M$5)</f>
        <v>38971.660671592799</v>
      </c>
      <c r="N29" s="161">
        <f>N30*('P&amp;L'!N$5)</f>
        <v>41789.424468771613</v>
      </c>
      <c r="O29" s="161">
        <f>O30*('P&amp;L'!O$5)</f>
        <v>44846.580791984881</v>
      </c>
      <c r="P29" s="161">
        <f>P30*('P&amp;L'!P$5)</f>
        <v>46568.360139410113</v>
      </c>
      <c r="Q29" s="161">
        <f>Q30*('P&amp;L'!Q$5)</f>
        <v>48366.782147297294</v>
      </c>
      <c r="R29" s="161">
        <f>R30*('P&amp;L'!R$5)</f>
        <v>49442.510014164742</v>
      </c>
      <c r="S29" s="161">
        <f>S30*('P&amp;L'!S$5)</f>
        <v>50546.255971804851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AVERAGE($C$30:$F$30)</f>
        <v>0.54748081890686673</v>
      </c>
      <c r="J30" s="196">
        <f t="shared" ref="J30:S30" si="11">AVERAGE($C$30:$F$30)</f>
        <v>0.54748081890686673</v>
      </c>
      <c r="K30" s="196">
        <f t="shared" si="11"/>
        <v>0.54748081890686673</v>
      </c>
      <c r="L30" s="196">
        <f t="shared" si="11"/>
        <v>0.54748081890686673</v>
      </c>
      <c r="M30" s="196">
        <f t="shared" si="11"/>
        <v>0.54748081890686673</v>
      </c>
      <c r="N30" s="196">
        <f t="shared" si="11"/>
        <v>0.54748081890686673</v>
      </c>
      <c r="O30" s="196">
        <f t="shared" si="11"/>
        <v>0.54748081890686673</v>
      </c>
      <c r="P30" s="196">
        <f t="shared" si="11"/>
        <v>0.54748081890686673</v>
      </c>
      <c r="Q30" s="196">
        <f t="shared" si="11"/>
        <v>0.54748081890686673</v>
      </c>
      <c r="R30" s="196">
        <f t="shared" si="11"/>
        <v>0.54748081890686673</v>
      </c>
      <c r="S30" s="196">
        <f t="shared" si="11"/>
        <v>0.54748081890686673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27559.701254646465</v>
      </c>
      <c r="J31" s="205">
        <f t="shared" si="14"/>
        <v>32250.24052821242</v>
      </c>
      <c r="K31" s="205">
        <f t="shared" si="14"/>
        <v>48609.836246363251</v>
      </c>
      <c r="L31" s="205">
        <f t="shared" si="14"/>
        <v>60672.201609518444</v>
      </c>
      <c r="M31" s="205">
        <f t="shared" si="14"/>
        <v>74905.60014851435</v>
      </c>
      <c r="N31" s="205">
        <f t="shared" si="14"/>
        <v>79467.240778957275</v>
      </c>
      <c r="O31" s="205">
        <f t="shared" ref="O31:S31" si="15">O19+O20+O22+O24+O26+O28+O29</f>
        <v>84416.430810977618</v>
      </c>
      <c r="P31" s="205">
        <f t="shared" si="15"/>
        <v>87203.796677391321</v>
      </c>
      <c r="Q31" s="205">
        <f t="shared" si="15"/>
        <v>90115.238335515634</v>
      </c>
      <c r="R31" s="205">
        <f t="shared" si="15"/>
        <v>91856.719984799129</v>
      </c>
      <c r="S31" s="205">
        <f t="shared" si="15"/>
        <v>93643.559751531633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4087.6481711328315</v>
      </c>
      <c r="J32" s="205">
        <f>I32+'P&amp;L'!J14+Financing!J20</f>
        <v>4235.7455911665711</v>
      </c>
      <c r="K32" s="205">
        <f>J32+'P&amp;L'!K14+Financing!K20</f>
        <v>4693.5693677454592</v>
      </c>
      <c r="L32" s="205">
        <f>K32+'P&amp;L'!L14+Financing!L20</f>
        <v>5659.3052693674963</v>
      </c>
      <c r="M32" s="205">
        <f>L32+'P&amp;L'!M14+Financing!M20</f>
        <v>7229.9230602897496</v>
      </c>
      <c r="N32" s="205">
        <f>M32+'P&amp;L'!N14+Financing!N20</f>
        <v>8971.3862942728865</v>
      </c>
      <c r="O32" s="205">
        <f>N32+'P&amp;L'!O14+Financing!O20</f>
        <v>10899.965547052949</v>
      </c>
      <c r="P32" s="205">
        <f>O32+'P&amp;L'!P14+Financing!P20</f>
        <v>12937.780000353261</v>
      </c>
      <c r="Q32" s="205">
        <f>P32+'P&amp;L'!Q14+Financing!Q20</f>
        <v>15090.064436137718</v>
      </c>
      <c r="R32" s="205">
        <f>Q32+'P&amp;L'!R14+Financing!R20</f>
        <v>17298.598815002133</v>
      </c>
      <c r="S32" s="205">
        <f>R32+'P&amp;L'!S14+Financing!S20</f>
        <v>19564.68855347078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31647.349425779295</v>
      </c>
      <c r="J34" s="127">
        <f t="shared" si="16"/>
        <v>36485.986119378991</v>
      </c>
      <c r="K34" s="127">
        <f t="shared" si="16"/>
        <v>53303.405614108713</v>
      </c>
      <c r="L34" s="127">
        <f t="shared" si="16"/>
        <v>66331.506878885935</v>
      </c>
      <c r="M34" s="127">
        <f t="shared" si="16"/>
        <v>82135.523208804094</v>
      </c>
      <c r="N34" s="127">
        <f t="shared" si="16"/>
        <v>88438.627073230164</v>
      </c>
      <c r="O34" s="127">
        <f t="shared" ref="O34:S34" si="17">O31+O32</f>
        <v>95316.396358030572</v>
      </c>
      <c r="P34" s="127">
        <f t="shared" si="17"/>
        <v>100141.57667774458</v>
      </c>
      <c r="Q34" s="127">
        <f t="shared" si="17"/>
        <v>105205.30277165335</v>
      </c>
      <c r="R34" s="127">
        <f t="shared" si="17"/>
        <v>109155.31879980126</v>
      </c>
      <c r="S34" s="127">
        <f t="shared" si="17"/>
        <v>113208.24830500242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0</v>
      </c>
      <c r="L36" s="175">
        <f t="shared" si="18"/>
        <v>0</v>
      </c>
      <c r="M36" s="175">
        <f t="shared" si="18"/>
        <v>0</v>
      </c>
      <c r="N36" s="175">
        <f t="shared" si="18"/>
        <v>0</v>
      </c>
      <c r="O36" s="175">
        <f t="shared" si="18"/>
        <v>0</v>
      </c>
      <c r="P36" s="175">
        <f t="shared" si="18"/>
        <v>0</v>
      </c>
      <c r="Q36" s="175">
        <f t="shared" si="18"/>
        <v>0</v>
      </c>
      <c r="R36" s="175">
        <f t="shared" si="18"/>
        <v>0</v>
      </c>
      <c r="S36" s="175">
        <f t="shared" si="18"/>
        <v>0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L26" sqref="L26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24" t="s">
        <v>257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s="23" customFormat="1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-779.08857886716851</v>
      </c>
      <c r="I5" s="165">
        <f>G5+H5</f>
        <v>-1997.4545788671685</v>
      </c>
      <c r="J5" s="165">
        <f>'P&amp;L'!J9</f>
        <v>663.28374593743229</v>
      </c>
      <c r="K5" s="165">
        <f>'P&amp;L'!K9</f>
        <v>1382.4120608484918</v>
      </c>
      <c r="L5" s="165">
        <f>'P&amp;L'!L9</f>
        <v>2108.0008109101327</v>
      </c>
      <c r="M5" s="165">
        <f>'P&amp;L'!M9</f>
        <v>2972.1177956247284</v>
      </c>
      <c r="N5" s="165">
        <f>'P&amp;L'!N9</f>
        <v>3216.1827142831335</v>
      </c>
      <c r="O5" s="165">
        <f>'P&amp;L'!O9</f>
        <v>3483.4913125644543</v>
      </c>
      <c r="P5" s="165">
        <f>'P&amp;L'!P9</f>
        <v>3639.5415990219553</v>
      </c>
      <c r="Q5" s="165">
        <f>'P&amp;L'!Q9</f>
        <v>3803.0701454278751</v>
      </c>
      <c r="R5" s="165">
        <f>'P&amp;L'!R9</f>
        <v>3883.4272069706749</v>
      </c>
      <c r="S5" s="165">
        <f>'P&amp;L'!S9</f>
        <v>3965.6491492624318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-198.98512378122967</v>
      </c>
      <c r="K6" s="165">
        <f>IF(K5*Drivers!$C$12&gt;0,-K5*Drivers!$C$12,0)</f>
        <v>-414.72361825454755</v>
      </c>
      <c r="L6" s="165">
        <f>IF(L5*Drivers!$C$12&gt;0,-L5*Drivers!$C$12,0)</f>
        <v>-632.40024327303979</v>
      </c>
      <c r="M6" s="165">
        <f>IF(M5*Drivers!$C$12&gt;0,-M5*Drivers!$C$12,0)</f>
        <v>-891.63533868741854</v>
      </c>
      <c r="N6" s="165">
        <f>IF(N5*Drivers!$C$12&gt;0,-N5*Drivers!$C$12,0)</f>
        <v>-964.85481428493995</v>
      </c>
      <c r="O6" s="165">
        <f>IF(O5*Drivers!$C$12&gt;0,-O5*Drivers!$C$12,0)</f>
        <v>-1045.0473937693362</v>
      </c>
      <c r="P6" s="165">
        <f>IF(P5*Drivers!$C$12&gt;0,-P5*Drivers!$C$12,0)</f>
        <v>-1091.8624797065866</v>
      </c>
      <c r="Q6" s="165">
        <f>IF(Q5*Drivers!$C$12&gt;0,-Q5*Drivers!$C$12,0)</f>
        <v>-1140.9210436283624</v>
      </c>
      <c r="R6" s="165">
        <f>IF(R5*Drivers!$C$12&gt;0,-R5*Drivers!$C$12,0)</f>
        <v>-1165.0281620912024</v>
      </c>
      <c r="S6" s="165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-779.08857886716851</v>
      </c>
      <c r="I7" s="183">
        <f t="shared" si="0"/>
        <v>-2016.7665788671684</v>
      </c>
      <c r="J7" s="183">
        <f t="shared" ref="J7:K7" si="1">SUM(J5:J6)</f>
        <v>464.29862215620261</v>
      </c>
      <c r="K7" s="183">
        <f t="shared" si="1"/>
        <v>967.68844259394427</v>
      </c>
      <c r="L7" s="183">
        <f t="shared" ref="L7:N7" si="2">SUM(L5:L6)</f>
        <v>1475.6005676370928</v>
      </c>
      <c r="M7" s="183">
        <f t="shared" si="2"/>
        <v>2080.48245693731</v>
      </c>
      <c r="N7" s="183">
        <f t="shared" si="2"/>
        <v>2251.3278999981935</v>
      </c>
      <c r="O7" s="183">
        <f t="shared" ref="O7:S7" si="3">SUM(O5:O6)</f>
        <v>2438.4439187951184</v>
      </c>
      <c r="P7" s="183">
        <f t="shared" si="3"/>
        <v>2547.6791193153686</v>
      </c>
      <c r="Q7" s="183">
        <f t="shared" si="3"/>
        <v>2662.1491017995127</v>
      </c>
      <c r="R7" s="183">
        <f t="shared" si="3"/>
        <v>2718.3990448794725</v>
      </c>
      <c r="S7" s="183">
        <f t="shared" si="3"/>
        <v>2775.9544044837021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504.75157333333334</v>
      </c>
      <c r="I8" s="165">
        <f>G8+H8</f>
        <v>1406.2395733333333</v>
      </c>
      <c r="J8" s="165">
        <f>-'PP&amp;E'!J9</f>
        <v>1366.1942584888893</v>
      </c>
      <c r="K8" s="165">
        <f>-'PP&amp;E'!K9</f>
        <v>1748.7286508657783</v>
      </c>
      <c r="L8" s="165">
        <f>-'PP&amp;E'!L9</f>
        <v>2056.9420755808715</v>
      </c>
      <c r="M8" s="165">
        <f>-'PP&amp;E'!M9</f>
        <v>2399.3722908979053</v>
      </c>
      <c r="N8" s="165">
        <f>-'PP&amp;E'!N9</f>
        <v>2778.2969187330405</v>
      </c>
      <c r="O8" s="165">
        <f>-'PP&amp;E'!O9</f>
        <v>3195.9625132187621</v>
      </c>
      <c r="P8" s="165">
        <f>-'PP&amp;E'!P9</f>
        <v>3654.5483930920445</v>
      </c>
      <c r="Q8" s="165">
        <f>-'PP&amp;E'!Q9</f>
        <v>4156.1241370320895</v>
      </c>
      <c r="R8" s="165">
        <f>-'PP&amp;E'!R9</f>
        <v>4702.6000412663825</v>
      </c>
      <c r="S8" s="165">
        <f>-'PP&amp;E'!S9</f>
        <v>5295.669792463982</v>
      </c>
    </row>
    <row r="9" spans="2:19" s="23" customFormat="1" ht="12" x14ac:dyDescent="0.25">
      <c r="B9" s="38" t="s">
        <v>164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-274.33700553383517</v>
      </c>
      <c r="I9" s="183">
        <f t="shared" si="0"/>
        <v>-610.52700553383511</v>
      </c>
      <c r="J9" s="183">
        <f t="shared" ref="J9:K9" si="5">SUM(J7:J8)</f>
        <v>1830.4928806450919</v>
      </c>
      <c r="K9" s="183">
        <f t="shared" si="5"/>
        <v>2716.4170934597223</v>
      </c>
      <c r="L9" s="183">
        <f t="shared" ref="L9:N9" si="6">SUM(L7:L8)</f>
        <v>3532.5426432179643</v>
      </c>
      <c r="M9" s="183">
        <f t="shared" si="6"/>
        <v>4479.8547478352157</v>
      </c>
      <c r="N9" s="183">
        <f t="shared" si="6"/>
        <v>5029.624818731234</v>
      </c>
      <c r="O9" s="183">
        <f t="shared" ref="O9:S9" si="7">SUM(O7:O8)</f>
        <v>5634.4064320138805</v>
      </c>
      <c r="P9" s="183">
        <f t="shared" si="7"/>
        <v>6202.2275124074131</v>
      </c>
      <c r="Q9" s="183">
        <f t="shared" si="7"/>
        <v>6818.2732388316017</v>
      </c>
      <c r="R9" s="183">
        <f t="shared" si="7"/>
        <v>7420.9990861458555</v>
      </c>
      <c r="S9" s="183">
        <f t="shared" si="7"/>
        <v>8071.6241969476841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569.87400000000002</v>
      </c>
      <c r="I11" s="165">
        <f>G11+H11</f>
        <v>515.38099999999997</v>
      </c>
      <c r="J11" s="165">
        <f>-('Balance Sheet'!J7-'Balance Sheet'!I7)</f>
        <v>0</v>
      </c>
      <c r="K11" s="165">
        <f>-('Balance Sheet'!K7-'Balance Sheet'!J7)</f>
        <v>0</v>
      </c>
      <c r="L11" s="165">
        <f>-('Balance Sheet'!L7-'Balance Sheet'!K7)</f>
        <v>0</v>
      </c>
      <c r="M11" s="165">
        <f>-('Balance Sheet'!M7-'Balance Sheet'!L7)</f>
        <v>0</v>
      </c>
      <c r="N11" s="165">
        <f>-('Balance Sheet'!N7-'Balance Sheet'!M7)</f>
        <v>0</v>
      </c>
      <c r="O11" s="165">
        <f>-('Balance Sheet'!O7-'Balance Sheet'!N7)</f>
        <v>0</v>
      </c>
      <c r="P11" s="165">
        <f>-('Balance Sheet'!P7-'Balance Sheet'!O7)</f>
        <v>0</v>
      </c>
      <c r="Q11" s="165">
        <f>-('Balance Sheet'!Q7-'Balance Sheet'!P7)</f>
        <v>0</v>
      </c>
      <c r="R11" s="165">
        <f>-('Balance Sheet'!R7-'Balance Sheet'!Q7)</f>
        <v>0</v>
      </c>
      <c r="S11" s="165">
        <f>-('Balance Sheet'!S7-'Balance Sheet'!R7)</f>
        <v>0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3324.643</v>
      </c>
      <c r="I12" s="165">
        <f t="shared" ref="I12:I13" si="8">G12+H12</f>
        <v>2263.5369999999998</v>
      </c>
      <c r="J12" s="165">
        <f>-('Balance Sheet'!J8-'Balance Sheet'!I8)</f>
        <v>0</v>
      </c>
      <c r="K12" s="165">
        <f>-('Balance Sheet'!K8-'Balance Sheet'!J8)</f>
        <v>0</v>
      </c>
      <c r="L12" s="165">
        <f>-('Balance Sheet'!L8-'Balance Sheet'!K8)</f>
        <v>0</v>
      </c>
      <c r="M12" s="165">
        <f>-('Balance Sheet'!M8-'Balance Sheet'!L8)</f>
        <v>0</v>
      </c>
      <c r="N12" s="165">
        <f>-('Balance Sheet'!N8-'Balance Sheet'!M8)</f>
        <v>0</v>
      </c>
      <c r="O12" s="165">
        <f>-('Balance Sheet'!O8-'Balance Sheet'!N8)</f>
        <v>0</v>
      </c>
      <c r="P12" s="165">
        <f>-('Balance Sheet'!P8-'Balance Sheet'!O8)</f>
        <v>0</v>
      </c>
      <c r="Q12" s="165">
        <f>-('Balance Sheet'!Q8-'Balance Sheet'!P8)</f>
        <v>0</v>
      </c>
      <c r="R12" s="165">
        <f>-('Balance Sheet'!R8-'Balance Sheet'!Q8)</f>
        <v>0</v>
      </c>
      <c r="S12" s="165">
        <f>-('Balance Sheet'!S8-'Balance Sheet'!R8)</f>
        <v>0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-3030.4929999999999</v>
      </c>
      <c r="I13" s="165">
        <f t="shared" si="8"/>
        <v>-2390.25</v>
      </c>
      <c r="J13" s="165">
        <f>'Balance Sheet'!J19-'Balance Sheet'!I19</f>
        <v>0</v>
      </c>
      <c r="K13" s="165">
        <f>'Balance Sheet'!K19-'Balance Sheet'!J19</f>
        <v>0</v>
      </c>
      <c r="L13" s="165">
        <f>'Balance Sheet'!L19-'Balance Sheet'!K19</f>
        <v>0</v>
      </c>
      <c r="M13" s="165">
        <f>'Balance Sheet'!M19-'Balance Sheet'!L19</f>
        <v>0</v>
      </c>
      <c r="N13" s="165">
        <f>'Balance Sheet'!N19-'Balance Sheet'!M19</f>
        <v>0</v>
      </c>
      <c r="O13" s="165">
        <f>'Balance Sheet'!O19-'Balance Sheet'!N19</f>
        <v>0</v>
      </c>
      <c r="P13" s="165">
        <f>'Balance Sheet'!P19-'Balance Sheet'!O19</f>
        <v>0</v>
      </c>
      <c r="Q13" s="165">
        <f>'Balance Sheet'!Q19-'Balance Sheet'!P19</f>
        <v>0</v>
      </c>
      <c r="R13" s="165">
        <f>'Balance Sheet'!R19-'Balance Sheet'!Q19</f>
        <v>0</v>
      </c>
      <c r="S13" s="165">
        <f>'Balance Sheet'!S19-'Balance Sheet'!R19</f>
        <v>0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864.02399999999989</v>
      </c>
      <c r="I14" s="186">
        <f t="shared" ref="I14:J14" si="10">SUM(I11:I13)</f>
        <v>388.66799999999967</v>
      </c>
      <c r="J14" s="186">
        <f t="shared" si="10"/>
        <v>0</v>
      </c>
      <c r="K14" s="186">
        <f t="shared" ref="K14:N14" si="11">SUM(K11:K13)</f>
        <v>0</v>
      </c>
      <c r="L14" s="186">
        <f t="shared" si="11"/>
        <v>0</v>
      </c>
      <c r="M14" s="186">
        <f t="shared" si="11"/>
        <v>0</v>
      </c>
      <c r="N14" s="186">
        <f t="shared" si="11"/>
        <v>0</v>
      </c>
      <c r="O14" s="186">
        <f t="shared" ref="O14:S14" si="12">SUM(O11:O13)</f>
        <v>0</v>
      </c>
      <c r="P14" s="186">
        <f t="shared" si="12"/>
        <v>0</v>
      </c>
      <c r="Q14" s="186">
        <f t="shared" si="12"/>
        <v>0</v>
      </c>
      <c r="R14" s="186">
        <f t="shared" si="12"/>
        <v>0</v>
      </c>
      <c r="S14" s="186">
        <f t="shared" si="12"/>
        <v>0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-5855.1182506666682</v>
      </c>
      <c r="K16" s="165">
        <f>-'PP&amp;E'!K8</f>
        <v>-5738.0158856533353</v>
      </c>
      <c r="L16" s="165">
        <f>-'PP&amp;E'!L8</f>
        <v>-4623.2013707264014</v>
      </c>
      <c r="M16" s="165">
        <f>-'PP&amp;E'!M8</f>
        <v>-5136.4532297555079</v>
      </c>
      <c r="N16" s="165">
        <f>-'PP&amp;E'!N8</f>
        <v>-5683.8694175270284</v>
      </c>
      <c r="O16" s="165">
        <f>-'PP&amp;E'!O8</f>
        <v>-6264.9839172858265</v>
      </c>
      <c r="P16" s="165">
        <f>-'PP&amp;E'!P8</f>
        <v>-6878.7881980992388</v>
      </c>
      <c r="Q16" s="165">
        <f>-'PP&amp;E'!Q8</f>
        <v>-7523.636159100678</v>
      </c>
      <c r="R16" s="165">
        <f>-'PP&amp;E'!R8</f>
        <v>-8197.1385635143961</v>
      </c>
      <c r="S16" s="165">
        <f>-'PP&amp;E'!S8</f>
        <v>-8896.0462679639986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7947.3072546464628</v>
      </c>
      <c r="I18" s="165">
        <f t="shared" si="13"/>
        <v>5124.8412546464633</v>
      </c>
      <c r="J18" s="165">
        <f>'Balance Sheet'!J20-'Balance Sheet'!I20+'Balance Sheet'!J22-'Balance Sheet'!I22+'Balance Sheet'!J24-'Balance Sheet'!I24+'Balance Sheet'!J26-'Balance Sheet'!I26+'Balance Sheet'!J29-'Balance Sheet'!I29</f>
        <v>4492.2213494696498</v>
      </c>
      <c r="K18" s="165">
        <f>'Balance Sheet'!K20-'Balance Sheet'!J20+'Balance Sheet'!K22-'Balance Sheet'!J22+'Balance Sheet'!K24-'Balance Sheet'!J24+'Balance Sheet'!K26-'Balance Sheet'!J26+'Balance Sheet'!K29-'Balance Sheet'!J29</f>
        <v>16359.595718150824</v>
      </c>
      <c r="L18" s="165">
        <f>'Balance Sheet'!L20-'Balance Sheet'!K20+'Balance Sheet'!L22-'Balance Sheet'!K22+'Balance Sheet'!L24-'Balance Sheet'!K24+'Balance Sheet'!L26-'Balance Sheet'!K26+'Balance Sheet'!L29-'Balance Sheet'!K29</f>
        <v>12062.365363155201</v>
      </c>
      <c r="M18" s="165">
        <f>'Balance Sheet'!M20-'Balance Sheet'!L20+'Balance Sheet'!M22-'Balance Sheet'!L22+'Balance Sheet'!M24-'Balance Sheet'!L24+'Balance Sheet'!M26-'Balance Sheet'!L26+'Balance Sheet'!M29-'Balance Sheet'!L29</f>
        <v>14233.398538995898</v>
      </c>
      <c r="N18" s="165">
        <f>'Balance Sheet'!N20-'Balance Sheet'!M20+'Balance Sheet'!N22-'Balance Sheet'!M22+'Balance Sheet'!N24-'Balance Sheet'!M24+'Balance Sheet'!N26-'Balance Sheet'!M26+'Balance Sheet'!N29-'Balance Sheet'!M29</f>
        <v>4561.6406304429402</v>
      </c>
      <c r="O18" s="165">
        <f>'Balance Sheet'!O20-'Balance Sheet'!N20+'Balance Sheet'!O22-'Balance Sheet'!N22+'Balance Sheet'!O24-'Balance Sheet'!N24+'Balance Sheet'!O26-'Balance Sheet'!N26+'Balance Sheet'!O29-'Balance Sheet'!N29</f>
        <v>4949.1900320203495</v>
      </c>
      <c r="P18" s="165">
        <f>'Balance Sheet'!P20-'Balance Sheet'!O20+'Balance Sheet'!P22-'Balance Sheet'!O22+'Balance Sheet'!P24-'Balance Sheet'!O24+'Balance Sheet'!P26-'Balance Sheet'!O26+'Balance Sheet'!P29-'Balance Sheet'!O29</f>
        <v>2787.3658664136965</v>
      </c>
      <c r="Q18" s="165">
        <f>'Balance Sheet'!Q20-'Balance Sheet'!P20+'Balance Sheet'!Q22-'Balance Sheet'!P22+'Balance Sheet'!Q24-'Balance Sheet'!P24+'Balance Sheet'!Q26-'Balance Sheet'!P26+'Balance Sheet'!Q29-'Balance Sheet'!P29</f>
        <v>2911.4416581243058</v>
      </c>
      <c r="R18" s="165">
        <f>'Balance Sheet'!R20-'Balance Sheet'!Q20+'Balance Sheet'!R22-'Balance Sheet'!Q22+'Balance Sheet'!R24-'Balance Sheet'!Q24+'Balance Sheet'!R26-'Balance Sheet'!Q26+'Balance Sheet'!R29-'Balance Sheet'!Q29</f>
        <v>1741.4816492834943</v>
      </c>
      <c r="S18" s="165">
        <f>'Balance Sheet'!S20-'Balance Sheet'!R20+'Balance Sheet'!S22-'Balance Sheet'!R22+'Balance Sheet'!S24-'Balance Sheet'!R24+'Balance Sheet'!S26-'Balance Sheet'!R26+'Balance Sheet'!S29-'Balance Sheet'!R29</f>
        <v>1786.8397667324971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2972.7125278555859</v>
      </c>
      <c r="I20" s="192">
        <f t="shared" si="15"/>
        <v>-833.30647214441251</v>
      </c>
      <c r="J20" s="192">
        <f t="shared" si="15"/>
        <v>-396.63584819261541</v>
      </c>
      <c r="K20" s="192">
        <f t="shared" si="15"/>
        <v>10190.671314179541</v>
      </c>
      <c r="L20" s="192">
        <f t="shared" si="15"/>
        <v>8651.0996903322593</v>
      </c>
      <c r="M20" s="192">
        <f t="shared" si="15"/>
        <v>10838.520912761629</v>
      </c>
      <c r="N20" s="192">
        <f t="shared" si="15"/>
        <v>3029.8090401795162</v>
      </c>
      <c r="O20" s="192">
        <f t="shared" ref="O20:S20" si="16">O9+O14+O17+O18+O16</f>
        <v>3366.4672239853135</v>
      </c>
      <c r="P20" s="192">
        <f t="shared" si="16"/>
        <v>1574.5603900865262</v>
      </c>
      <c r="Q20" s="192">
        <f t="shared" si="16"/>
        <v>1645.9637413920509</v>
      </c>
      <c r="R20" s="192">
        <f t="shared" si="16"/>
        <v>630.30884397338195</v>
      </c>
      <c r="S20" s="192">
        <f t="shared" si="16"/>
        <v>618.65818852123812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-400.37624999999997</v>
      </c>
      <c r="I22" s="165">
        <f t="shared" ref="I22:I26" si="17">G22+H22</f>
        <v>-690.03125</v>
      </c>
      <c r="J22" s="165">
        <f>'P&amp;L'!J10</f>
        <v>-713.50424999999996</v>
      </c>
      <c r="K22" s="165">
        <f>'P&amp;L'!K10</f>
        <v>-728.37809430722302</v>
      </c>
      <c r="L22" s="165">
        <f>'P&amp;L'!L10</f>
        <v>-728.37809430722302</v>
      </c>
      <c r="M22" s="165">
        <f>'P&amp;L'!M10</f>
        <v>-728.37809430722302</v>
      </c>
      <c r="N22" s="165">
        <f>'P&amp;L'!N10</f>
        <v>-728.37809430722302</v>
      </c>
      <c r="O22" s="165">
        <f>'P&amp;L'!O10</f>
        <v>-728.37809430722302</v>
      </c>
      <c r="P22" s="165">
        <f>'P&amp;L'!P10</f>
        <v>-728.37809430722302</v>
      </c>
      <c r="Q22" s="165">
        <f>'P&amp;L'!Q10</f>
        <v>-728.37809430722302</v>
      </c>
      <c r="R22" s="165">
        <f>'P&amp;L'!R10</f>
        <v>-728.37809430722302</v>
      </c>
      <c r="S22" s="165">
        <f>'P&amp;L'!S10</f>
        <v>-728.37809430722302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0</v>
      </c>
      <c r="I23" s="165">
        <f t="shared" si="17"/>
        <v>1404.3260000000009</v>
      </c>
      <c r="J23" s="165">
        <f>'Balance Sheet'!K28-'Balance Sheet'!I28</f>
        <v>198.31792409630725</v>
      </c>
      <c r="K23" s="165">
        <f>'Balance Sheet'!L28-'Balance Sheet'!J28</f>
        <v>0</v>
      </c>
      <c r="L23" s="165">
        <f>'Balance Sheet'!M28-'Balance Sheet'!K28</f>
        <v>0</v>
      </c>
      <c r="M23" s="165">
        <f>'Balance Sheet'!N28-'Balance Sheet'!L28</f>
        <v>0</v>
      </c>
      <c r="N23" s="165">
        <f>'Balance Sheet'!O28-'Balance Sheet'!M28</f>
        <v>0</v>
      </c>
      <c r="O23" s="165">
        <f>'Balance Sheet'!P28-'Balance Sheet'!N28</f>
        <v>0</v>
      </c>
      <c r="P23" s="165">
        <f>'Balance Sheet'!Q28-'Balance Sheet'!O28</f>
        <v>0</v>
      </c>
      <c r="Q23" s="165">
        <f>'Balance Sheet'!R28-'Balance Sheet'!P28</f>
        <v>0</v>
      </c>
      <c r="R23" s="165">
        <f>'Balance Sheet'!S28-'Balance Sheet'!Q28</f>
        <v>0</v>
      </c>
      <c r="S23" s="165">
        <f>'Balance Sheet'!S28-'Balance Sheet'!R28</f>
        <v>0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0</v>
      </c>
      <c r="I24" s="165">
        <f t="shared" si="17"/>
        <v>1459.6150000000005</v>
      </c>
      <c r="J24" s="165">
        <f>'Balance Sheet'!J32-'Balance Sheet'!I32-'P&amp;L'!J14</f>
        <v>198.31792409630725</v>
      </c>
      <c r="K24" s="165">
        <f>'Balance Sheet'!K32-'Balance Sheet'!J32-'P&amp;L'!K14</f>
        <v>0</v>
      </c>
      <c r="L24" s="165">
        <f>'Balance Sheet'!L32-'Balance Sheet'!K32-'P&amp;L'!L14</f>
        <v>0</v>
      </c>
      <c r="M24" s="165">
        <f>'Balance Sheet'!M32-'Balance Sheet'!L32-'P&amp;L'!M14</f>
        <v>0</v>
      </c>
      <c r="N24" s="165">
        <f>'Balance Sheet'!N32-'Balance Sheet'!M32-'P&amp;L'!N14</f>
        <v>0</v>
      </c>
      <c r="O24" s="165">
        <f>'Balance Sheet'!O32-'Balance Sheet'!N32-'P&amp;L'!O14</f>
        <v>0</v>
      </c>
      <c r="P24" s="165">
        <f>'Balance Sheet'!P32-'Balance Sheet'!O32-'P&amp;L'!P14</f>
        <v>0</v>
      </c>
      <c r="Q24" s="165">
        <f>'Balance Sheet'!Q32-'Balance Sheet'!P32-'P&amp;L'!Q14</f>
        <v>0</v>
      </c>
      <c r="R24" s="165">
        <f>'Balance Sheet'!R32-'Balance Sheet'!Q32-'P&amp;L'!R14</f>
        <v>0</v>
      </c>
      <c r="S24" s="165">
        <f>'Balance Sheet'!S32-'Balance Sheet'!R32-'P&amp;L'!S14</f>
        <v>0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198.98512378122967</v>
      </c>
      <c r="K25" s="165">
        <f>'P&amp;L'!K12-K6</f>
        <v>218.51342829216691</v>
      </c>
      <c r="L25" s="165">
        <f>'P&amp;L'!L12-L6</f>
        <v>218.51342829216685</v>
      </c>
      <c r="M25" s="165">
        <f>'P&amp;L'!M12-M6</f>
        <v>218.51342829216696</v>
      </c>
      <c r="N25" s="165">
        <f>'P&amp;L'!N12-N6</f>
        <v>218.51342829216685</v>
      </c>
      <c r="O25" s="165">
        <f>'P&amp;L'!O12-O6</f>
        <v>218.51342829216674</v>
      </c>
      <c r="P25" s="165">
        <f>'P&amp;L'!P12-P6</f>
        <v>218.51342829216685</v>
      </c>
      <c r="Q25" s="165">
        <f>'P&amp;L'!Q12-Q6</f>
        <v>218.51342829216685</v>
      </c>
      <c r="R25" s="165">
        <f>'P&amp;L'!R12-R6</f>
        <v>218.51342829216685</v>
      </c>
      <c r="S25" s="165">
        <f>'P&amp;L'!S12-S6</f>
        <v>218.51342829216685</v>
      </c>
    </row>
    <row r="26" spans="2:19" s="23" customFormat="1" ht="11.4" x14ac:dyDescent="0.2">
      <c r="B26" s="40" t="s">
        <v>263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2572.3362778555861</v>
      </c>
      <c r="I28" s="192">
        <f t="shared" ref="I28:J28" si="19">SUM(I20:I27)</f>
        <v>1440.8462778555888</v>
      </c>
      <c r="J28" s="192">
        <f t="shared" si="19"/>
        <v>-514.51912621877113</v>
      </c>
      <c r="K28" s="192">
        <f t="shared" ref="K28:N28" si="20">SUM(K20:K27)</f>
        <v>9680.8066481644837</v>
      </c>
      <c r="L28" s="192">
        <f t="shared" si="20"/>
        <v>8141.2350243172032</v>
      </c>
      <c r="M28" s="192">
        <f t="shared" si="20"/>
        <v>10328.656246746572</v>
      </c>
      <c r="N28" s="192">
        <f t="shared" si="20"/>
        <v>2519.94437416446</v>
      </c>
      <c r="O28" s="192">
        <f t="shared" ref="O28:S28" si="21">SUM(O20:O27)</f>
        <v>2856.6025579702573</v>
      </c>
      <c r="P28" s="192">
        <f t="shared" si="21"/>
        <v>1064.6957240714701</v>
      </c>
      <c r="Q28" s="192">
        <f t="shared" si="21"/>
        <v>1136.0990753769947</v>
      </c>
      <c r="R28" s="192">
        <f t="shared" si="21"/>
        <v>120.44417795832578</v>
      </c>
      <c r="S28" s="192">
        <f t="shared" si="21"/>
        <v>108.79352250618194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4808.7602778555865</v>
      </c>
      <c r="K30" s="37">
        <f t="shared" si="22"/>
        <v>4294.2411516368156</v>
      </c>
      <c r="L30" s="37">
        <f t="shared" si="22"/>
        <v>13975.047799801299</v>
      </c>
      <c r="M30" s="37">
        <f t="shared" si="22"/>
        <v>22116.282824118502</v>
      </c>
      <c r="N30" s="37">
        <f t="shared" si="22"/>
        <v>32444.939070865075</v>
      </c>
      <c r="O30" s="37">
        <f t="shared" si="22"/>
        <v>34964.883445029533</v>
      </c>
      <c r="P30" s="37">
        <f t="shared" si="22"/>
        <v>37821.486002999787</v>
      </c>
      <c r="Q30" s="37">
        <f t="shared" si="22"/>
        <v>38886.181727071256</v>
      </c>
      <c r="R30" s="37">
        <f t="shared" si="22"/>
        <v>40022.280802448251</v>
      </c>
      <c r="S30" s="37">
        <f t="shared" si="22"/>
        <v>40142.72498040658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2572.3362778555861</v>
      </c>
      <c r="I31" s="37">
        <f t="shared" si="23"/>
        <v>1440.8462778555888</v>
      </c>
      <c r="J31" s="37">
        <f t="shared" si="23"/>
        <v>-514.51912621877113</v>
      </c>
      <c r="K31" s="37">
        <f t="shared" si="23"/>
        <v>9680.8066481644837</v>
      </c>
      <c r="L31" s="37">
        <f t="shared" ref="L31:N31" si="24">L28</f>
        <v>8141.2350243172032</v>
      </c>
      <c r="M31" s="37">
        <f t="shared" si="24"/>
        <v>10328.656246746572</v>
      </c>
      <c r="N31" s="37">
        <f t="shared" si="24"/>
        <v>2519.94437416446</v>
      </c>
      <c r="O31" s="37">
        <f t="shared" ref="O31:S31" si="25">O28</f>
        <v>2856.6025579702573</v>
      </c>
      <c r="P31" s="37">
        <f t="shared" si="25"/>
        <v>1064.6957240714701</v>
      </c>
      <c r="Q31" s="37">
        <f t="shared" si="25"/>
        <v>1136.0990753769947</v>
      </c>
      <c r="R31" s="37">
        <f t="shared" si="25"/>
        <v>120.44417795832578</v>
      </c>
      <c r="S31" s="37">
        <f t="shared" si="25"/>
        <v>108.79352250618194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4808.7602778555865</v>
      </c>
      <c r="I32" s="37">
        <f t="shared" si="26"/>
        <v>4808.7602778555865</v>
      </c>
      <c r="J32" s="37">
        <f t="shared" si="26"/>
        <v>4294.2411516368156</v>
      </c>
      <c r="K32" s="37">
        <f t="shared" si="26"/>
        <v>13975.047799801299</v>
      </c>
      <c r="L32" s="37">
        <f t="shared" si="26"/>
        <v>22116.282824118502</v>
      </c>
      <c r="M32" s="37">
        <f t="shared" si="26"/>
        <v>32444.939070865075</v>
      </c>
      <c r="N32" s="37">
        <f t="shared" si="26"/>
        <v>34964.883445029533</v>
      </c>
      <c r="O32" s="37">
        <f t="shared" ref="O32:S32" si="27">O30+O31</f>
        <v>37821.486002999787</v>
      </c>
      <c r="P32" s="37">
        <f t="shared" si="27"/>
        <v>38886.181727071256</v>
      </c>
      <c r="Q32" s="37">
        <f t="shared" si="27"/>
        <v>40022.280802448251</v>
      </c>
      <c r="R32" s="37">
        <f t="shared" si="27"/>
        <v>40142.72498040658</v>
      </c>
      <c r="S32" s="37">
        <f t="shared" si="27"/>
        <v>40251.518502912761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4" t="s">
        <v>117</v>
      </c>
      <c r="C34" s="214">
        <f>'Balance Sheet'!C5-C32</f>
        <v>0</v>
      </c>
      <c r="D34" s="214">
        <f>'Balance Sheet'!D5-D32</f>
        <v>0</v>
      </c>
      <c r="E34" s="214">
        <f>'Balance Sheet'!E5-E32</f>
        <v>0</v>
      </c>
      <c r="F34" s="214">
        <f>'Balance Sheet'!F5-F32</f>
        <v>0</v>
      </c>
      <c r="G34" s="214">
        <f>'Balance Sheet'!G5-G32</f>
        <v>0</v>
      </c>
      <c r="H34" s="214">
        <f>'Balance Sheet'!I5-H32</f>
        <v>0</v>
      </c>
      <c r="I34" s="214">
        <f>'Balance Sheet'!I5-I32</f>
        <v>0</v>
      </c>
      <c r="J34" s="214">
        <f>'Balance Sheet'!J5-J32</f>
        <v>0</v>
      </c>
      <c r="K34" s="214">
        <f>'Balance Sheet'!K5-K32</f>
        <v>0</v>
      </c>
      <c r="L34" s="214">
        <f>'Balance Sheet'!L5-L32</f>
        <v>0</v>
      </c>
      <c r="M34" s="214">
        <f>'Balance Sheet'!M5-M32</f>
        <v>0</v>
      </c>
      <c r="N34" s="214">
        <f>'Balance Sheet'!N5-N32</f>
        <v>0</v>
      </c>
      <c r="O34" s="214">
        <f>'Balance Sheet'!O5-O32</f>
        <v>0</v>
      </c>
      <c r="P34" s="214">
        <f>'Balance Sheet'!P5-P32</f>
        <v>0</v>
      </c>
      <c r="Q34" s="214">
        <f>'Balance Sheet'!Q5-Q32</f>
        <v>0</v>
      </c>
      <c r="R34" s="214">
        <f>'Balance Sheet'!R5-R32</f>
        <v>0</v>
      </c>
      <c r="S34" s="214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showOutlineSymbols="0" workbookViewId="0">
      <selection activeCell="H6" sqref="H6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260</v>
      </c>
      <c r="C5" s="6" t="s">
        <v>45</v>
      </c>
      <c r="D5" s="6" t="s">
        <v>46</v>
      </c>
      <c r="E5" s="6" t="s">
        <v>47</v>
      </c>
      <c r="F5" s="6" t="s">
        <v>165</v>
      </c>
      <c r="G5" s="6" t="s">
        <v>173</v>
      </c>
      <c r="H5" s="98" t="s">
        <v>184</v>
      </c>
      <c r="I5" s="98"/>
      <c r="J5" s="98" t="s">
        <v>185</v>
      </c>
      <c r="K5" s="98" t="s">
        <v>186</v>
      </c>
      <c r="L5" s="98" t="s">
        <v>187</v>
      </c>
      <c r="M5" s="98" t="s">
        <v>188</v>
      </c>
      <c r="N5" s="98" t="s">
        <v>189</v>
      </c>
      <c r="O5" s="98" t="s">
        <v>269</v>
      </c>
      <c r="P5" s="98" t="s">
        <v>270</v>
      </c>
      <c r="Q5" s="98" t="s">
        <v>271</v>
      </c>
      <c r="R5" s="98" t="s">
        <v>272</v>
      </c>
      <c r="S5" s="98" t="s">
        <v>273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>
        <f>'Cash Flow'!H20</f>
        <v>2972.7125278555859</v>
      </c>
      <c r="I6" s="149"/>
      <c r="J6" s="149">
        <f>'Cash Flow'!J20</f>
        <v>-396.63584819261541</v>
      </c>
      <c r="K6" s="149">
        <f>'Cash Flow'!K20</f>
        <v>10190.671314179541</v>
      </c>
      <c r="L6" s="149">
        <f>'Cash Flow'!L20</f>
        <v>8651.0996903322593</v>
      </c>
      <c r="M6" s="149">
        <f>'Cash Flow'!M20</f>
        <v>10838.520912761629</v>
      </c>
      <c r="N6" s="149">
        <f>'Cash Flow'!N20</f>
        <v>3029.8090401795162</v>
      </c>
      <c r="O6" s="149">
        <f>'Cash Flow'!O20</f>
        <v>3366.4672239853135</v>
      </c>
      <c r="P6" s="149">
        <f>'Cash Flow'!P20</f>
        <v>1574.5603900865262</v>
      </c>
      <c r="Q6" s="149">
        <f>'Cash Flow'!Q20</f>
        <v>1645.9637413920509</v>
      </c>
      <c r="R6" s="149">
        <f>'Cash Flow'!R20</f>
        <v>630.30884397338195</v>
      </c>
      <c r="S6" s="149">
        <f>'Cash Flow'!S20</f>
        <v>618.65818852123812</v>
      </c>
    </row>
    <row r="7" spans="2:19" x14ac:dyDescent="0.2">
      <c r="B7" s="49" t="s">
        <v>281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>
        <f>S6*(1+$C$3)/(S9-C3)</f>
        <v>14599.118024578256</v>
      </c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>
        <f>WACC!G24</f>
        <v>5.7865791147052703E-2</v>
      </c>
      <c r="I9" s="151"/>
      <c r="J9" s="151">
        <f>WACC!J24</f>
        <v>5.7039060804265573E-2</v>
      </c>
      <c r="K9" s="151">
        <f>WACC!K24</f>
        <v>5.7390182483265995E-2</v>
      </c>
      <c r="L9" s="151">
        <f>WACC!L24</f>
        <v>5.8070501693721827E-2</v>
      </c>
      <c r="M9" s="151">
        <f>WACC!M24</f>
        <v>5.9029581421996213E-2</v>
      </c>
      <c r="N9" s="151">
        <f>WACC!N24</f>
        <v>5.9923543321073511E-2</v>
      </c>
      <c r="O9" s="151">
        <f>WACC!O24</f>
        <v>6.0753602268639857E-2</v>
      </c>
      <c r="P9" s="151">
        <f>WACC!P24</f>
        <v>6.1490132770116765E-2</v>
      </c>
      <c r="Q9" s="151">
        <f>WACC!Q24</f>
        <v>6.2146887925761472E-2</v>
      </c>
      <c r="R9" s="151">
        <f>WACC!R24</f>
        <v>6.2719863089059025E-2</v>
      </c>
      <c r="S9" s="151">
        <f>WACC!S24</f>
        <v>6.3223936626123162E-2</v>
      </c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>
        <f>H6/(1+H9)^H4</f>
        <v>2890.2647533467552</v>
      </c>
      <c r="I10" s="152"/>
      <c r="J10" s="152">
        <f t="shared" ref="J10:S10" si="0">J6/(1+J9)^J4</f>
        <v>-364.96852240387398</v>
      </c>
      <c r="K10" s="152">
        <f t="shared" si="0"/>
        <v>8863.6910442593144</v>
      </c>
      <c r="L10" s="152">
        <f t="shared" si="0"/>
        <v>7100.1936389874472</v>
      </c>
      <c r="M10" s="152">
        <f t="shared" si="0"/>
        <v>8373.0485484076617</v>
      </c>
      <c r="N10" s="152">
        <f t="shared" si="0"/>
        <v>2199.9119202245206</v>
      </c>
      <c r="O10" s="152">
        <f t="shared" si="0"/>
        <v>2294.4576239403036</v>
      </c>
      <c r="P10" s="152">
        <f t="shared" si="0"/>
        <v>1006.4439904165923</v>
      </c>
      <c r="Q10" s="152">
        <f t="shared" si="0"/>
        <v>985.94190535731673</v>
      </c>
      <c r="R10" s="152">
        <f t="shared" si="0"/>
        <v>353.65094274099579</v>
      </c>
      <c r="S10" s="152">
        <f t="shared" si="0"/>
        <v>325.00567071245041</v>
      </c>
    </row>
    <row r="11" spans="2:19" x14ac:dyDescent="0.2">
      <c r="B11" s="49" t="s">
        <v>294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>
        <f>S7/(1+S9)^S4</f>
        <v>7669.4954231990978</v>
      </c>
    </row>
    <row r="13" spans="2:19" ht="12" x14ac:dyDescent="0.25">
      <c r="B13" s="225" t="s">
        <v>148</v>
      </c>
      <c r="C13" s="225"/>
      <c r="D13" s="225"/>
      <c r="E13" s="225"/>
      <c r="F13" s="225"/>
      <c r="G13" s="225"/>
      <c r="H13" s="225"/>
      <c r="I13" s="225"/>
      <c r="J13" s="225"/>
      <c r="K13" s="225"/>
    </row>
    <row r="14" spans="2:19" x14ac:dyDescent="0.2">
      <c r="B14" s="49" t="s">
        <v>149</v>
      </c>
      <c r="E14" s="54"/>
      <c r="F14" s="54">
        <f>SUM(G10:L10)</f>
        <v>18489.180914189641</v>
      </c>
      <c r="G14" s="60">
        <f>F14/$F$17</f>
        <v>0.70680873434574187</v>
      </c>
      <c r="H14" s="49" t="s">
        <v>150</v>
      </c>
    </row>
    <row r="15" spans="2:19" x14ac:dyDescent="0.2">
      <c r="B15" s="49" t="s">
        <v>151</v>
      </c>
      <c r="E15" s="54"/>
      <c r="F15" s="54">
        <f>S7</f>
        <v>14599.118024578256</v>
      </c>
    </row>
    <row r="16" spans="2:19" x14ac:dyDescent="0.2">
      <c r="B16" s="49" t="s">
        <v>152</v>
      </c>
      <c r="E16" s="54"/>
      <c r="F16" s="54">
        <f>S11</f>
        <v>7669.4954231990978</v>
      </c>
      <c r="G16" s="60">
        <f>F16/$F$17</f>
        <v>0.29319126565425813</v>
      </c>
      <c r="H16" s="49" t="s">
        <v>150</v>
      </c>
    </row>
    <row r="17" spans="2:7" ht="12" x14ac:dyDescent="0.25">
      <c r="B17" s="53" t="s">
        <v>153</v>
      </c>
      <c r="C17" s="53"/>
      <c r="D17" s="53"/>
      <c r="E17" s="55"/>
      <c r="F17" s="55">
        <f>F16+F14</f>
        <v>26158.676337388737</v>
      </c>
    </row>
    <row r="18" spans="2:7" x14ac:dyDescent="0.2">
      <c r="B18" s="56" t="s">
        <v>154</v>
      </c>
      <c r="E18" s="54"/>
      <c r="F18" s="54">
        <f>'Balance Sheet'!S5</f>
        <v>40251.518502912761</v>
      </c>
      <c r="G18" s="54"/>
    </row>
    <row r="19" spans="2:7" x14ac:dyDescent="0.2">
      <c r="B19" s="56" t="s">
        <v>155</v>
      </c>
      <c r="E19" s="54"/>
      <c r="F19" s="54">
        <f>'Balance Sheet'!S28</f>
        <v>11814.892924096308</v>
      </c>
    </row>
    <row r="20" spans="2:7" ht="12" x14ac:dyDescent="0.25">
      <c r="B20" s="53" t="s">
        <v>156</v>
      </c>
      <c r="C20" s="53"/>
      <c r="D20" s="53"/>
      <c r="E20" s="55"/>
      <c r="F20" s="55">
        <f>F17+F18-F19</f>
        <v>54595.301916205193</v>
      </c>
    </row>
    <row r="21" spans="2:7" x14ac:dyDescent="0.2">
      <c r="B21" s="49" t="s">
        <v>160</v>
      </c>
      <c r="F21" s="54">
        <v>168.07</v>
      </c>
    </row>
    <row r="22" spans="2:7" ht="12" x14ac:dyDescent="0.25">
      <c r="B22" s="61" t="s">
        <v>161</v>
      </c>
      <c r="C22" s="61"/>
      <c r="D22" s="61"/>
      <c r="E22" s="61"/>
      <c r="F22" s="61">
        <f>F20/F21</f>
        <v>324.83668659609208</v>
      </c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166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165</v>
      </c>
      <c r="G3" s="98" t="s">
        <v>173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170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171</v>
      </c>
      <c r="C25" s="69"/>
      <c r="D25" s="69"/>
      <c r="E25" s="69"/>
      <c r="F25" s="69"/>
      <c r="G25" s="69"/>
    </row>
    <row r="26" spans="2:7" x14ac:dyDescent="0.2">
      <c r="B26" s="69" t="s">
        <v>346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347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348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CD7F-9C67-416B-BFE7-B54E9E17C393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282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14F47-5902-4E90-9D34-98686EDEF78A}">
  <dimension ref="A1:C3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285</v>
      </c>
    </row>
    <row r="8" spans="1:3" x14ac:dyDescent="0.2">
      <c r="B8" s="8" t="s">
        <v>283</v>
      </c>
      <c r="C8" s="180">
        <f>'Revenue automotive'!I11</f>
        <v>14236.04</v>
      </c>
    </row>
    <row r="9" spans="1:3" x14ac:dyDescent="0.2">
      <c r="B9" s="8" t="s">
        <v>175</v>
      </c>
      <c r="C9" s="180">
        <f>'Revenue automotive'!J5-'Revenue automotive'!I5</f>
        <v>5433.96</v>
      </c>
    </row>
    <row r="10" spans="1:3" x14ac:dyDescent="0.2">
      <c r="B10" s="8" t="s">
        <v>181</v>
      </c>
      <c r="C10" s="180">
        <f>'Revenue automotive'!J6-'Revenue automotive'!I6</f>
        <v>175</v>
      </c>
    </row>
    <row r="11" spans="1:3" x14ac:dyDescent="0.2">
      <c r="B11" s="8" t="s">
        <v>176</v>
      </c>
      <c r="C11" s="180">
        <f>'Revenue automotive'!J7-'Revenue automotive'!I7</f>
        <v>88.2</v>
      </c>
    </row>
    <row r="12" spans="1:3" x14ac:dyDescent="0.2">
      <c r="B12" s="8" t="s">
        <v>178</v>
      </c>
      <c r="C12" s="180">
        <f>'Revenue automotive'!J8-'Revenue automotive'!I8</f>
        <v>0</v>
      </c>
    </row>
    <row r="13" spans="1:3" x14ac:dyDescent="0.2">
      <c r="B13" s="8" t="s">
        <v>177</v>
      </c>
      <c r="C13" s="180">
        <f>'Revenue automotive'!J9-'Revenue automotive'!I9</f>
        <v>15.75</v>
      </c>
    </row>
    <row r="14" spans="1:3" x14ac:dyDescent="0.2">
      <c r="B14" s="8" t="s">
        <v>174</v>
      </c>
      <c r="C14" s="180">
        <f>'Revenue automotive'!J10-'Revenue automotive'!I10</f>
        <v>50</v>
      </c>
    </row>
    <row r="15" spans="1:3" x14ac:dyDescent="0.2">
      <c r="B15" s="8" t="s">
        <v>284</v>
      </c>
      <c r="C15" s="180">
        <f>'Revenue automotive'!J11</f>
        <v>19998.95</v>
      </c>
    </row>
    <row r="27" spans="2:3" x14ac:dyDescent="0.2">
      <c r="B27" s="8" t="s">
        <v>284</v>
      </c>
      <c r="C27" s="180">
        <f>'Revenue automotive'!J11</f>
        <v>19998.95</v>
      </c>
    </row>
    <row r="28" spans="2:3" x14ac:dyDescent="0.2">
      <c r="B28" s="8" t="s">
        <v>175</v>
      </c>
      <c r="C28" s="180">
        <f>'Revenue automotive'!K5-'Revenue automotive'!J5</f>
        <v>6552</v>
      </c>
    </row>
    <row r="29" spans="2:3" x14ac:dyDescent="0.2">
      <c r="B29" s="8" t="s">
        <v>181</v>
      </c>
      <c r="C29" s="180">
        <f>'Revenue automotive'!K6-'Revenue automotive'!J6</f>
        <v>178.5</v>
      </c>
    </row>
    <row r="30" spans="2:3" x14ac:dyDescent="0.2">
      <c r="B30" s="8" t="s">
        <v>176</v>
      </c>
      <c r="C30" s="180">
        <f>'Revenue automotive'!K7-'Revenue automotive'!J7</f>
        <v>6442.8</v>
      </c>
    </row>
    <row r="31" spans="2:3" x14ac:dyDescent="0.2">
      <c r="B31" s="8" t="s">
        <v>178</v>
      </c>
      <c r="C31" s="180">
        <f>'Revenue automotive'!K8-'Revenue automotive'!J8</f>
        <v>115</v>
      </c>
    </row>
    <row r="32" spans="2:3" x14ac:dyDescent="0.2">
      <c r="B32" s="8" t="s">
        <v>177</v>
      </c>
      <c r="C32" s="180">
        <f>'Revenue automotive'!K9-'Revenue automotive'!J9</f>
        <v>1150.5</v>
      </c>
    </row>
    <row r="33" spans="2:3" x14ac:dyDescent="0.2">
      <c r="B33" s="8" t="s">
        <v>174</v>
      </c>
      <c r="C33" s="180">
        <f>'Revenue automotive'!K10-'Revenue automotive'!J10</f>
        <v>3652.3809523809527</v>
      </c>
    </row>
    <row r="34" spans="2:3" x14ac:dyDescent="0.2">
      <c r="B34" s="8" t="s">
        <v>286</v>
      </c>
      <c r="C34" s="180">
        <f>'Revenue automotive'!K11</f>
        <v>38090.130952380954</v>
      </c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3FD1-114B-41A7-8C0F-0A15336A1B8E}">
  <dimension ref="A1:C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291</v>
      </c>
    </row>
    <row r="8" spans="1:3" x14ac:dyDescent="0.2">
      <c r="B8" s="8" t="s">
        <v>287</v>
      </c>
      <c r="C8" s="180">
        <f>'Cash Flow'!I28</f>
        <v>1440.8462778555888</v>
      </c>
    </row>
    <row r="9" spans="1:3" x14ac:dyDescent="0.2">
      <c r="B9" s="8" t="s">
        <v>128</v>
      </c>
      <c r="C9" s="180">
        <f>'Cash Flow'!J7-'Cash Flow'!I7</f>
        <v>2481.0652010233712</v>
      </c>
    </row>
    <row r="10" spans="1:3" x14ac:dyDescent="0.2">
      <c r="B10" s="8" t="s">
        <v>143</v>
      </c>
      <c r="C10" s="180">
        <f>'Cash Flow'!J8-'Cash Flow'!I8</f>
        <v>-40.045314844443965</v>
      </c>
    </row>
    <row r="11" spans="1:3" x14ac:dyDescent="0.2">
      <c r="B11" s="8" t="s">
        <v>289</v>
      </c>
      <c r="C11" s="180">
        <f>'Cash Flow'!J14-'Cash Flow'!I14</f>
        <v>-388.66799999999967</v>
      </c>
    </row>
    <row r="12" spans="1:3" x14ac:dyDescent="0.2">
      <c r="B12" s="8" t="s">
        <v>82</v>
      </c>
      <c r="C12" s="180">
        <f>'Cash Flow'!J16-'Cash Flow'!I16</f>
        <v>161.39494933333208</v>
      </c>
    </row>
    <row r="13" spans="1:3" x14ac:dyDescent="0.2">
      <c r="B13" s="8" t="s">
        <v>290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-4169.1122395866196</v>
      </c>
    </row>
    <row r="14" spans="1:3" x14ac:dyDescent="0.2">
      <c r="B14" s="8" t="s">
        <v>288</v>
      </c>
      <c r="C14" s="180">
        <f>'Cash Flow'!J28</f>
        <v>-514.51912621877113</v>
      </c>
    </row>
    <row r="26" spans="2:3" x14ac:dyDescent="0.2">
      <c r="B26" s="8" t="s">
        <v>292</v>
      </c>
      <c r="C26" s="180">
        <f>'Cash Flow'!R28</f>
        <v>120.44417795832578</v>
      </c>
    </row>
    <row r="27" spans="2:3" x14ac:dyDescent="0.2">
      <c r="B27" s="8" t="s">
        <v>128</v>
      </c>
      <c r="C27" s="180">
        <f>'Cash Flow'!S7-'Cash Flow'!R7</f>
        <v>57.555359604229579</v>
      </c>
    </row>
    <row r="28" spans="2:3" x14ac:dyDescent="0.2">
      <c r="B28" s="8" t="s">
        <v>143</v>
      </c>
      <c r="C28" s="180">
        <f>'Cash Flow'!S8-'Cash Flow'!R8</f>
        <v>593.06975119759954</v>
      </c>
    </row>
    <row r="29" spans="2:3" x14ac:dyDescent="0.2">
      <c r="B29" s="8" t="s">
        <v>289</v>
      </c>
      <c r="C29" s="180">
        <f>'Cash Flow'!S14-'Cash Flow'!R14</f>
        <v>0</v>
      </c>
    </row>
    <row r="30" spans="2:3" x14ac:dyDescent="0.2">
      <c r="B30" s="8" t="s">
        <v>82</v>
      </c>
      <c r="C30" s="180">
        <f>'Cash Flow'!S16-'Cash Flow'!R16</f>
        <v>-698.90770444960253</v>
      </c>
    </row>
    <row r="31" spans="2:3" x14ac:dyDescent="0.2">
      <c r="B31" s="8" t="s">
        <v>290</v>
      </c>
      <c r="C31" s="180">
        <f>'Cash Flow'!S17-'Cash Flow'!R17+'Cash Flow'!S18-'Cash Flow'!R18+'Cash Flow'!S22-'Cash Flow'!R22+'Cash Flow'!S23-'Cash Flow'!R23+'Cash Flow'!S24-'Cash Flow'!R24+'Cash Flow'!S25-'Cash Flow'!R25</f>
        <v>36.631938195629573</v>
      </c>
    </row>
    <row r="32" spans="2:3" x14ac:dyDescent="0.2">
      <c r="B32" s="8" t="s">
        <v>293</v>
      </c>
      <c r="C32" s="180">
        <f>'Cash Flow'!S28</f>
        <v>108.79352250618194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63B0-147D-49D4-BAB2-0102D6E24226}">
  <dimension ref="A1:C1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333</v>
      </c>
    </row>
    <row r="8" spans="1:3" x14ac:dyDescent="0.2">
      <c r="B8" s="8" t="s">
        <v>287</v>
      </c>
      <c r="C8" s="180">
        <f>'Cash Flow'!I28</f>
        <v>1440.8462778555888</v>
      </c>
    </row>
    <row r="9" spans="1:3" x14ac:dyDescent="0.2">
      <c r="B9" s="8" t="s">
        <v>128</v>
      </c>
      <c r="C9" s="180">
        <f>'Cash Flow'!J7-'Cash Flow'!I7</f>
        <v>2481.0652010233712</v>
      </c>
    </row>
    <row r="10" spans="1:3" x14ac:dyDescent="0.2">
      <c r="B10" s="8" t="s">
        <v>143</v>
      </c>
      <c r="C10" s="180">
        <f>'Cash Flow'!J8-'Cash Flow'!I8</f>
        <v>-40.045314844443965</v>
      </c>
    </row>
    <row r="11" spans="1:3" x14ac:dyDescent="0.2">
      <c r="B11" s="8" t="s">
        <v>289</v>
      </c>
      <c r="C11" s="180">
        <f>'Cash Flow'!J14-'Cash Flow'!I14</f>
        <v>-388.66799999999967</v>
      </c>
    </row>
    <row r="12" spans="1:3" x14ac:dyDescent="0.2">
      <c r="B12" s="8" t="s">
        <v>82</v>
      </c>
      <c r="C12" s="180">
        <f>'Cash Flow'!J16-'Cash Flow'!I16</f>
        <v>161.39494933333208</v>
      </c>
    </row>
    <row r="13" spans="1:3" x14ac:dyDescent="0.2">
      <c r="B13" s="8" t="s">
        <v>290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-4169.1122395866196</v>
      </c>
    </row>
    <row r="14" spans="1:3" x14ac:dyDescent="0.2">
      <c r="B14" s="8" t="s">
        <v>288</v>
      </c>
      <c r="C14" s="180">
        <f>'Cash Flow'!J28</f>
        <v>-514.51912621877113</v>
      </c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FB41-806E-43D0-9B12-F237AF5BE0EB}">
  <dimension ref="A1:C16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343</v>
      </c>
    </row>
    <row r="3" spans="1:3" ht="12" x14ac:dyDescent="0.25">
      <c r="B3" s="219" t="s">
        <v>340</v>
      </c>
      <c r="C3" s="180">
        <f>'P&amp;L'!F14</f>
        <v>-1961.3999999999987</v>
      </c>
    </row>
    <row r="4" spans="1:3" x14ac:dyDescent="0.2">
      <c r="B4" s="25" t="s">
        <v>334</v>
      </c>
      <c r="C4" s="180">
        <f>'P&amp;L'!I5-'P&amp;L'!F5</f>
        <v>6229.4650000000001</v>
      </c>
    </row>
    <row r="5" spans="1:3" ht="22.8" x14ac:dyDescent="0.2">
      <c r="B5" s="220" t="s">
        <v>336</v>
      </c>
      <c r="C5" s="180">
        <f>'P&amp;L'!I6-'P&amp;L'!F6</f>
        <v>-5354.4594579129116</v>
      </c>
    </row>
    <row r="6" spans="1:3" ht="22.8" x14ac:dyDescent="0.2">
      <c r="B6" s="220" t="s">
        <v>337</v>
      </c>
      <c r="C6" s="180">
        <f>'P&amp;L'!I8-'P&amp;L'!F8</f>
        <v>-1240.3741209542582</v>
      </c>
    </row>
    <row r="7" spans="1:3" ht="22.8" x14ac:dyDescent="0.2">
      <c r="B7" s="220" t="s">
        <v>338</v>
      </c>
      <c r="C7" s="180">
        <f>'P&amp;L'!I10-'P&amp;L'!F10</f>
        <v>-136.55824999999993</v>
      </c>
    </row>
    <row r="8" spans="1:3" x14ac:dyDescent="0.2">
      <c r="B8" s="25" t="s">
        <v>335</v>
      </c>
      <c r="C8" s="180">
        <f>'P&amp;L'!I12-'P&amp;L'!F12</f>
        <v>31.545999999999999</v>
      </c>
    </row>
    <row r="9" spans="1:3" ht="22.8" x14ac:dyDescent="0.2">
      <c r="B9" s="220" t="s">
        <v>339</v>
      </c>
      <c r="C9" s="180">
        <f>'P&amp;L'!I13-'P&amp;L'!F13</f>
        <v>-279.178</v>
      </c>
    </row>
    <row r="10" spans="1:3" ht="12" x14ac:dyDescent="0.25">
      <c r="B10" s="219" t="s">
        <v>341</v>
      </c>
      <c r="C10" s="180">
        <f>'P&amp;L'!I14</f>
        <v>-2710.9588288671684</v>
      </c>
    </row>
    <row r="11" spans="1:3" x14ac:dyDescent="0.2">
      <c r="B11" s="25" t="s">
        <v>334</v>
      </c>
      <c r="C11" s="180">
        <f>'P&amp;L'!J5-'P&amp;L'!I5</f>
        <v>5068.4568800000015</v>
      </c>
    </row>
    <row r="12" spans="1:3" ht="22.8" x14ac:dyDescent="0.2">
      <c r="B12" s="220" t="s">
        <v>336</v>
      </c>
      <c r="C12" s="180">
        <f>'P&amp;L'!J6-'P&amp;L'!I6</f>
        <v>-4622.474605133968</v>
      </c>
    </row>
    <row r="13" spans="1:3" ht="22.8" x14ac:dyDescent="0.2">
      <c r="B13" s="220" t="s">
        <v>337</v>
      </c>
      <c r="C13" s="180">
        <f>'P&amp;L'!J8-'P&amp;L'!I8</f>
        <v>2214.7560499385672</v>
      </c>
    </row>
    <row r="14" spans="1:3" ht="22.8" x14ac:dyDescent="0.2">
      <c r="B14" s="220" t="s">
        <v>338</v>
      </c>
      <c r="C14" s="180">
        <f>'P&amp;L'!J10-'P&amp;L'!I10</f>
        <v>0</v>
      </c>
    </row>
    <row r="15" spans="1:3" x14ac:dyDescent="0.2">
      <c r="B15" s="25" t="s">
        <v>335</v>
      </c>
      <c r="C15" s="180">
        <f>'P&amp;L'!J12-'P&amp;L'!I12</f>
        <v>0</v>
      </c>
    </row>
    <row r="16" spans="1:3" ht="12" x14ac:dyDescent="0.25">
      <c r="B16" s="219" t="s">
        <v>342</v>
      </c>
      <c r="C16" s="180">
        <f>'P&amp;L'!J14</f>
        <v>-50.22050406256767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4C42-E73B-4608-8B01-88995DABF4B7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310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F665-D816-4A68-8A3C-34859DE4CC7E}">
  <dimension ref="A1:U27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318</v>
      </c>
    </row>
    <row r="3" spans="1:21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U4" s="6" t="s">
        <v>312</v>
      </c>
    </row>
    <row r="5" spans="1:21" x14ac:dyDescent="0.25">
      <c r="B5" s="8" t="s">
        <v>175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313</v>
      </c>
    </row>
    <row r="6" spans="1:21" x14ac:dyDescent="0.25">
      <c r="B6" s="8" t="s">
        <v>181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313</v>
      </c>
    </row>
    <row r="7" spans="1:21" x14ac:dyDescent="0.25">
      <c r="B7" s="8" t="s">
        <v>176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313</v>
      </c>
    </row>
    <row r="8" spans="1:21" x14ac:dyDescent="0.25">
      <c r="B8" s="8" t="s">
        <v>178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313</v>
      </c>
    </row>
    <row r="9" spans="1:21" x14ac:dyDescent="0.25">
      <c r="B9" s="8" t="s">
        <v>177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314</v>
      </c>
    </row>
    <row r="10" spans="1:21" x14ac:dyDescent="0.25">
      <c r="B10" s="8" t="s">
        <v>174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315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13.2" x14ac:dyDescent="0.25">
      <c r="B13" s="1"/>
    </row>
    <row r="14" spans="1:21" ht="13.2" x14ac:dyDescent="0.25">
      <c r="B14" s="1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  <row r="25" spans="3:3" x14ac:dyDescent="0.2">
      <c r="C25" s="180"/>
    </row>
    <row r="26" spans="3:3" x14ac:dyDescent="0.2">
      <c r="C26" s="180"/>
    </row>
    <row r="27" spans="3:3" x14ac:dyDescent="0.2">
      <c r="C27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6311-EAA7-408C-8FF7-DE61FB3BF95F}">
  <dimension ref="A1:U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311</v>
      </c>
    </row>
    <row r="3" spans="1:21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U4" s="6" t="s">
        <v>312</v>
      </c>
    </row>
    <row r="5" spans="1:21" x14ac:dyDescent="0.25">
      <c r="B5" s="8" t="s">
        <v>175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313</v>
      </c>
    </row>
    <row r="6" spans="1:21" x14ac:dyDescent="0.25">
      <c r="B6" s="8" t="s">
        <v>181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313</v>
      </c>
    </row>
    <row r="7" spans="1:21" x14ac:dyDescent="0.25">
      <c r="B7" s="8" t="s">
        <v>176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313</v>
      </c>
    </row>
    <row r="8" spans="1:21" x14ac:dyDescent="0.25">
      <c r="B8" s="8" t="s">
        <v>178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313</v>
      </c>
    </row>
    <row r="9" spans="1:21" x14ac:dyDescent="0.25">
      <c r="B9" s="8" t="s">
        <v>177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314</v>
      </c>
    </row>
    <row r="10" spans="1:21" x14ac:dyDescent="0.25">
      <c r="B10" s="8" t="s">
        <v>174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315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24" x14ac:dyDescent="0.25">
      <c r="B13" s="6"/>
      <c r="C13" s="6" t="s">
        <v>45</v>
      </c>
      <c r="D13" s="6" t="s">
        <v>46</v>
      </c>
      <c r="E13" s="6" t="s">
        <v>47</v>
      </c>
      <c r="F13" s="6" t="s">
        <v>165</v>
      </c>
      <c r="G13" s="6" t="s">
        <v>173</v>
      </c>
      <c r="H13" s="98" t="s">
        <v>184</v>
      </c>
      <c r="I13" s="98" t="s">
        <v>183</v>
      </c>
      <c r="J13" s="98" t="s">
        <v>185</v>
      </c>
      <c r="K13" s="98" t="s">
        <v>186</v>
      </c>
      <c r="L13" s="98" t="s">
        <v>187</v>
      </c>
      <c r="M13" s="98" t="s">
        <v>188</v>
      </c>
      <c r="N13" s="98" t="s">
        <v>189</v>
      </c>
      <c r="O13" s="98" t="s">
        <v>269</v>
      </c>
      <c r="P13" s="98" t="s">
        <v>270</v>
      </c>
      <c r="Q13" s="98" t="s">
        <v>271</v>
      </c>
      <c r="R13" s="98" t="s">
        <v>272</v>
      </c>
      <c r="S13" s="98" t="s">
        <v>273</v>
      </c>
    </row>
    <row r="14" spans="1:21" x14ac:dyDescent="0.2">
      <c r="B14" s="8" t="s">
        <v>313</v>
      </c>
      <c r="C14" s="180"/>
      <c r="H14" s="90">
        <f t="shared" ref="H14:J16" si="1">SUMIF($U$5:$U$10,$B14,H$5:H$10)</f>
        <v>9259.25</v>
      </c>
      <c r="I14" s="90">
        <f t="shared" si="1"/>
        <v>14236.04</v>
      </c>
      <c r="J14" s="90">
        <f t="shared" si="1"/>
        <v>19933.2</v>
      </c>
      <c r="K14" s="90">
        <f t="shared" ref="K14:S16" si="2">SUMIF($U$5:$U$10,$B14,K$5:K$10)</f>
        <v>33221.5</v>
      </c>
      <c r="L14" s="90">
        <f t="shared" si="2"/>
        <v>41734.770000000004</v>
      </c>
      <c r="M14" s="90">
        <f t="shared" si="2"/>
        <v>51757.401400000002</v>
      </c>
      <c r="N14" s="90">
        <f t="shared" si="2"/>
        <v>55118.383028000011</v>
      </c>
      <c r="O14" s="90">
        <f t="shared" si="2"/>
        <v>58747.455968560018</v>
      </c>
      <c r="P14" s="90">
        <f t="shared" si="2"/>
        <v>60689.968587931216</v>
      </c>
      <c r="Q14" s="90">
        <f t="shared" si="2"/>
        <v>62709.70963468984</v>
      </c>
      <c r="R14" s="90">
        <f t="shared" si="2"/>
        <v>63963.903827383634</v>
      </c>
      <c r="S14" s="90">
        <f t="shared" si="2"/>
        <v>65243.181903931305</v>
      </c>
    </row>
    <row r="15" spans="1:21" x14ac:dyDescent="0.25">
      <c r="B15" s="8" t="s">
        <v>314</v>
      </c>
      <c r="H15" s="90">
        <f t="shared" si="1"/>
        <v>0</v>
      </c>
      <c r="I15" s="90">
        <f t="shared" si="1"/>
        <v>0</v>
      </c>
      <c r="J15" s="90">
        <f t="shared" si="1"/>
        <v>15.75</v>
      </c>
      <c r="K15" s="90">
        <f t="shared" si="2"/>
        <v>1166.25</v>
      </c>
      <c r="L15" s="90">
        <f t="shared" si="2"/>
        <v>2321.4285714285716</v>
      </c>
      <c r="M15" s="90">
        <f t="shared" si="2"/>
        <v>3714.2857142857151</v>
      </c>
      <c r="N15" s="90">
        <f t="shared" si="2"/>
        <v>4085.7142857142867</v>
      </c>
      <c r="O15" s="90">
        <f t="shared" si="2"/>
        <v>4494.2857142857165</v>
      </c>
      <c r="P15" s="90">
        <f t="shared" si="2"/>
        <v>4719.0000000000018</v>
      </c>
      <c r="Q15" s="90">
        <f t="shared" si="2"/>
        <v>4954.9500000000025</v>
      </c>
      <c r="R15" s="90">
        <f t="shared" si="2"/>
        <v>5054.0490000000027</v>
      </c>
      <c r="S15" s="90">
        <f t="shared" si="2"/>
        <v>5155.1299800000024</v>
      </c>
    </row>
    <row r="16" spans="1:21" x14ac:dyDescent="0.25">
      <c r="B16" s="8" t="s">
        <v>315</v>
      </c>
      <c r="H16" s="90">
        <f t="shared" si="1"/>
        <v>0</v>
      </c>
      <c r="I16" s="90">
        <f t="shared" si="1"/>
        <v>0</v>
      </c>
      <c r="J16" s="90">
        <f t="shared" si="1"/>
        <v>50</v>
      </c>
      <c r="K16" s="90">
        <f t="shared" si="2"/>
        <v>3702.3809523809527</v>
      </c>
      <c r="L16" s="90">
        <f t="shared" si="2"/>
        <v>7369.6145124716568</v>
      </c>
      <c r="M16" s="90">
        <f t="shared" si="2"/>
        <v>11791.38321995465</v>
      </c>
      <c r="N16" s="90">
        <f t="shared" si="2"/>
        <v>12970.521541950116</v>
      </c>
      <c r="O16" s="90">
        <f t="shared" si="2"/>
        <v>14267.573696145129</v>
      </c>
      <c r="P16" s="90">
        <f t="shared" si="2"/>
        <v>14980.952380952387</v>
      </c>
      <c r="Q16" s="90">
        <f t="shared" si="2"/>
        <v>15730.000000000009</v>
      </c>
      <c r="R16" s="90">
        <f t="shared" si="2"/>
        <v>16044.600000000009</v>
      </c>
      <c r="S16" s="90">
        <f t="shared" si="2"/>
        <v>16365.492000000009</v>
      </c>
    </row>
    <row r="17" spans="2:19" ht="12.6" thickBot="1" x14ac:dyDescent="0.3">
      <c r="B17" s="116" t="s">
        <v>69</v>
      </c>
      <c r="C17" s="127"/>
      <c r="D17" s="127"/>
      <c r="E17" s="127"/>
      <c r="F17" s="127"/>
      <c r="G17" s="127"/>
      <c r="H17" s="127">
        <f>SUM(H14:H16)</f>
        <v>9259.25</v>
      </c>
      <c r="I17" s="127">
        <f t="shared" ref="I17:S17" si="3">SUM(I14:I16)</f>
        <v>14236.04</v>
      </c>
      <c r="J17" s="127">
        <f t="shared" si="3"/>
        <v>19998.95</v>
      </c>
      <c r="K17" s="127">
        <f t="shared" si="3"/>
        <v>38090.130952380954</v>
      </c>
      <c r="L17" s="127">
        <f t="shared" si="3"/>
        <v>51425.813083900233</v>
      </c>
      <c r="M17" s="127">
        <f t="shared" si="3"/>
        <v>67263.070334240372</v>
      </c>
      <c r="N17" s="127">
        <f t="shared" si="3"/>
        <v>72174.618855664419</v>
      </c>
      <c r="O17" s="127">
        <f t="shared" si="3"/>
        <v>77509.315378990868</v>
      </c>
      <c r="P17" s="127">
        <f t="shared" si="3"/>
        <v>80389.920968883598</v>
      </c>
      <c r="Q17" s="127">
        <f t="shared" si="3"/>
        <v>83394.659634689859</v>
      </c>
      <c r="R17" s="127">
        <f t="shared" si="3"/>
        <v>85062.552827383639</v>
      </c>
      <c r="S17" s="127">
        <f t="shared" si="3"/>
        <v>86763.803883931323</v>
      </c>
    </row>
    <row r="18" spans="2:19" ht="13.2" x14ac:dyDescent="0.25">
      <c r="B18" s="1"/>
    </row>
    <row r="19" spans="2:19" ht="13.2" x14ac:dyDescent="0.25">
      <c r="B19" s="1"/>
    </row>
    <row r="26" spans="2:19" x14ac:dyDescent="0.2">
      <c r="C26" s="180"/>
    </row>
    <row r="27" spans="2:19" x14ac:dyDescent="0.2">
      <c r="C27" s="180"/>
    </row>
    <row r="28" spans="2:19" x14ac:dyDescent="0.2">
      <c r="C28" s="180"/>
    </row>
    <row r="29" spans="2:19" x14ac:dyDescent="0.2">
      <c r="C29" s="180"/>
    </row>
    <row r="30" spans="2:19" x14ac:dyDescent="0.2">
      <c r="C30" s="180"/>
    </row>
    <row r="31" spans="2:19" x14ac:dyDescent="0.2">
      <c r="C31" s="180"/>
    </row>
    <row r="32" spans="2:19" x14ac:dyDescent="0.2">
      <c r="C32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E61EF-C59E-4207-A5A7-4E145A079BEC}">
  <dimension ref="A1:S24"/>
  <sheetViews>
    <sheetView workbookViewId="0">
      <selection activeCell="B4" sqref="B4"/>
    </sheetView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5" width="7.21875" style="8" bestFit="1" customWidth="1"/>
    <col min="6" max="6" width="8.109375" style="8" bestFit="1" customWidth="1"/>
    <col min="7" max="7" width="6.88671875" style="8" hidden="1" customWidth="1" outlineLevel="1"/>
    <col min="8" max="8" width="10.44140625" style="8" hidden="1" customWidth="1" outlineLevel="1"/>
    <col min="9" max="9" width="10.5546875" style="8" bestFit="1" customWidth="1" collapsed="1"/>
    <col min="10" max="12" width="10.5546875" style="8" bestFit="1" customWidth="1"/>
    <col min="13" max="19" width="9.21875" style="8" bestFit="1" customWidth="1"/>
    <col min="20" max="20" width="2" style="8" customWidth="1"/>
    <col min="21" max="16384" width="9.109375" style="8"/>
  </cols>
  <sheetData>
    <row r="1" spans="1:19" ht="15.6" x14ac:dyDescent="0.25">
      <c r="A1" s="213"/>
      <c r="B1" s="2" t="s">
        <v>311</v>
      </c>
    </row>
    <row r="3" spans="1:19" x14ac:dyDescent="0.2">
      <c r="C3" s="180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">
      <c r="B5" s="8" t="s">
        <v>316</v>
      </c>
      <c r="C5" s="180">
        <f>'P&amp;L'!C5</f>
        <v>3198.3560000000002</v>
      </c>
      <c r="D5" s="63">
        <f>'P&amp;L'!D5</f>
        <v>4046.0250000000001</v>
      </c>
      <c r="E5" s="63">
        <f>'P&amp;L'!E5</f>
        <v>7000.1319999999996</v>
      </c>
      <c r="F5" s="63">
        <f>'P&amp;L'!F5</f>
        <v>11758.751</v>
      </c>
      <c r="G5" s="63">
        <f>'P&amp;L'!G5</f>
        <v>7410.982</v>
      </c>
      <c r="H5" s="216">
        <f>'P&amp;L'!H5</f>
        <v>10577.234</v>
      </c>
      <c r="I5" s="216">
        <f>'P&amp;L'!I5</f>
        <v>17988.216</v>
      </c>
      <c r="J5" s="216">
        <f>'P&amp;L'!J5</f>
        <v>23056.672880000002</v>
      </c>
      <c r="K5" s="216">
        <f>'P&amp;L'!K5</f>
        <v>41514.780577980957</v>
      </c>
      <c r="L5" s="216">
        <f>'P&amp;L'!L5</f>
        <v>55124.434679548234</v>
      </c>
      <c r="M5" s="216">
        <f>'P&amp;L'!M5</f>
        <v>71183.609225627253</v>
      </c>
      <c r="N5" s="216">
        <f>'P&amp;L'!N5</f>
        <v>76330.390080534518</v>
      </c>
      <c r="O5" s="216">
        <f>'P&amp;L'!O5</f>
        <v>81914.432877353174</v>
      </c>
      <c r="P5" s="216">
        <f>'P&amp;L'!P5</f>
        <v>85059.345517147638</v>
      </c>
      <c r="Q5" s="216">
        <f>'P&amp;L'!Q5</f>
        <v>88344.249655849737</v>
      </c>
      <c r="R5" s="216">
        <f>'P&amp;L'!R5</f>
        <v>90309.118249813109</v>
      </c>
      <c r="S5" s="216">
        <f>'P&amp;L'!S5</f>
        <v>92325.163231706567</v>
      </c>
    </row>
    <row r="6" spans="1:19" x14ac:dyDescent="0.25">
      <c r="B6" s="193" t="s">
        <v>218</v>
      </c>
      <c r="C6" s="217">
        <f t="shared" ref="C6:S6" si="0">C8/C5</f>
        <v>0.27566380978227573</v>
      </c>
      <c r="D6" s="217">
        <f t="shared" si="0"/>
        <v>0.22824945471172328</v>
      </c>
      <c r="E6" s="217">
        <f t="shared" si="0"/>
        <v>0.22846097759299391</v>
      </c>
      <c r="F6" s="217">
        <f t="shared" si="0"/>
        <v>0.18900706376042839</v>
      </c>
      <c r="G6" s="217">
        <f t="shared" si="0"/>
        <v>0.14511653111557957</v>
      </c>
      <c r="H6" s="218">
        <f t="shared" si="0"/>
        <v>0.19116874431321926</v>
      </c>
      <c r="I6" s="218">
        <f t="shared" si="0"/>
        <v>0.17219564975687915</v>
      </c>
      <c r="J6" s="218">
        <f t="shared" si="0"/>
        <v>0.15368543568256249</v>
      </c>
      <c r="K6" s="218">
        <f t="shared" si="0"/>
        <v>0.15821717044057299</v>
      </c>
      <c r="L6" s="218">
        <f t="shared" si="0"/>
        <v>0.16315866595464171</v>
      </c>
      <c r="M6" s="218">
        <f t="shared" si="0"/>
        <v>0.16667073554755835</v>
      </c>
      <c r="N6" s="218">
        <f t="shared" si="0"/>
        <v>0.16705291890552015</v>
      </c>
      <c r="O6" s="218">
        <f t="shared" si="0"/>
        <v>0.1674438735575999</v>
      </c>
      <c r="P6" s="218">
        <f t="shared" si="0"/>
        <v>0.16770615870465166</v>
      </c>
      <c r="Q6" s="218">
        <f t="shared" si="0"/>
        <v>0.16796620059890155</v>
      </c>
      <c r="R6" s="218">
        <f t="shared" si="0"/>
        <v>0.1679193924830629</v>
      </c>
      <c r="S6" s="218">
        <f t="shared" si="0"/>
        <v>0.16787096572465604</v>
      </c>
    </row>
    <row r="7" spans="1:19" x14ac:dyDescent="0.25">
      <c r="B7" s="193" t="s">
        <v>317</v>
      </c>
      <c r="C7" s="217">
        <f t="shared" ref="C7:S7" si="1">C9/C5</f>
        <v>-5.8370300241749079E-2</v>
      </c>
      <c r="D7" s="217">
        <f t="shared" si="1"/>
        <v>-0.17711927138364195</v>
      </c>
      <c r="E7" s="217">
        <f t="shared" si="1"/>
        <v>-9.5332488015940367E-2</v>
      </c>
      <c r="F7" s="217">
        <f t="shared" si="1"/>
        <v>-0.13879756446921945</v>
      </c>
      <c r="G7" s="217">
        <f t="shared" si="1"/>
        <v>-0.16440007545558741</v>
      </c>
      <c r="H7" s="218">
        <f t="shared" si="1"/>
        <v>-7.3657118568726809E-2</v>
      </c>
      <c r="I7" s="218">
        <f t="shared" si="1"/>
        <v>-0.11104239458027236</v>
      </c>
      <c r="J7" s="218">
        <f t="shared" si="1"/>
        <v>2.8767539418611564E-2</v>
      </c>
      <c r="K7" s="218">
        <f t="shared" si="1"/>
        <v>3.3299274176622047E-2</v>
      </c>
      <c r="L7" s="218">
        <f t="shared" si="1"/>
        <v>3.8240769690690797E-2</v>
      </c>
      <c r="M7" s="218">
        <f t="shared" si="1"/>
        <v>4.1752839283607408E-2</v>
      </c>
      <c r="N7" s="218">
        <f t="shared" si="1"/>
        <v>4.2135022641569229E-2</v>
      </c>
      <c r="O7" s="218">
        <f t="shared" si="1"/>
        <v>4.252597729364898E-2</v>
      </c>
      <c r="P7" s="218">
        <f t="shared" si="1"/>
        <v>4.278826244070074E-2</v>
      </c>
      <c r="Q7" s="218">
        <f t="shared" si="1"/>
        <v>4.3048304334950611E-2</v>
      </c>
      <c r="R7" s="218">
        <f t="shared" si="1"/>
        <v>4.3001496219111979E-2</v>
      </c>
      <c r="S7" s="218">
        <f t="shared" si="1"/>
        <v>4.295306946070513E-2</v>
      </c>
    </row>
    <row r="8" spans="1:19" x14ac:dyDescent="0.2">
      <c r="B8" s="8" t="s">
        <v>77</v>
      </c>
      <c r="C8" s="180">
        <f>'P&amp;L'!C7</f>
        <v>881.67100000000028</v>
      </c>
      <c r="D8" s="63">
        <f>'P&amp;L'!D7</f>
        <v>923.50300000000016</v>
      </c>
      <c r="E8" s="63">
        <f>'P&amp;L'!E7</f>
        <v>1599.2569999999996</v>
      </c>
      <c r="F8" s="63">
        <f>'P&amp;L'!F7</f>
        <v>2222.487000000001</v>
      </c>
      <c r="G8" s="63">
        <f>'P&amp;L'!G7</f>
        <v>1075.4560000000001</v>
      </c>
      <c r="H8" s="216">
        <f>'P&amp;L'!H7</f>
        <v>2022.0365420870894</v>
      </c>
      <c r="I8" s="216">
        <f>'P&amp;L'!I7</f>
        <v>3097.4925420870895</v>
      </c>
      <c r="J8" s="216">
        <f>'P&amp;L'!J7</f>
        <v>3543.4748169531231</v>
      </c>
      <c r="K8" s="216">
        <f>'P&amp;L'!K7</f>
        <v>6568.3511145094017</v>
      </c>
      <c r="L8" s="216">
        <f>'P&amp;L'!L7</f>
        <v>8994.0292238188777</v>
      </c>
      <c r="M8" s="216">
        <f>'P&amp;L'!M7</f>
        <v>11864.224508565254</v>
      </c>
      <c r="N8" s="216">
        <f>'P&amp;L'!N7</f>
        <v>12751.214464150253</v>
      </c>
      <c r="O8" s="216">
        <f>'P&amp;L'!O7</f>
        <v>13716.069941258029</v>
      </c>
      <c r="P8" s="216">
        <f>'P&amp;L'!P7</f>
        <v>14264.976098612562</v>
      </c>
      <c r="Q8" s="216">
        <f>'P&amp;L'!Q7</f>
        <v>14838.847959453895</v>
      </c>
      <c r="R8" s="216">
        <f>'P&amp;L'!R7</f>
        <v>15164.652272189705</v>
      </c>
      <c r="S8" s="216">
        <f>'P&amp;L'!S7</f>
        <v>15498.714312393087</v>
      </c>
    </row>
    <row r="9" spans="1:19" x14ac:dyDescent="0.2">
      <c r="B9" s="8" t="s">
        <v>43</v>
      </c>
      <c r="C9" s="180">
        <f>'P&amp;L'!C9</f>
        <v>-186.68899999999962</v>
      </c>
      <c r="D9" s="180">
        <f>'P&amp;L'!D9</f>
        <v>-716.62899999999991</v>
      </c>
      <c r="E9" s="180">
        <f>'P&amp;L'!E9</f>
        <v>-667.3400000000006</v>
      </c>
      <c r="F9" s="180">
        <f>'P&amp;L'!F9</f>
        <v>-1632.0859999999989</v>
      </c>
      <c r="G9" s="8">
        <f>'P&amp;L'!G9</f>
        <v>-1218.366</v>
      </c>
      <c r="H9" s="90">
        <f>'P&amp;L'!H9</f>
        <v>-779.08857886716851</v>
      </c>
      <c r="I9" s="90">
        <f>'P&amp;L'!I9</f>
        <v>-1997.4545788671685</v>
      </c>
      <c r="J9" s="90">
        <f>'P&amp;L'!J9</f>
        <v>663.28374593743229</v>
      </c>
      <c r="K9" s="90">
        <f>'P&amp;L'!K9</f>
        <v>1382.4120608484918</v>
      </c>
      <c r="L9" s="90">
        <f>'P&amp;L'!L9</f>
        <v>2108.0008109101327</v>
      </c>
      <c r="M9" s="90">
        <f>'P&amp;L'!M9</f>
        <v>2972.1177956247284</v>
      </c>
      <c r="N9" s="90">
        <f>'P&amp;L'!N9</f>
        <v>3216.1827142831335</v>
      </c>
      <c r="O9" s="90">
        <f>'P&amp;L'!O9</f>
        <v>3483.4913125644543</v>
      </c>
      <c r="P9" s="90">
        <f>'P&amp;L'!P9</f>
        <v>3639.5415990219553</v>
      </c>
      <c r="Q9" s="90">
        <f>'P&amp;L'!Q9</f>
        <v>3803.0701454278751</v>
      </c>
      <c r="R9" s="90">
        <f>'P&amp;L'!R9</f>
        <v>3883.4272069706749</v>
      </c>
      <c r="S9" s="90">
        <f>'P&amp;L'!S9</f>
        <v>3965.6491492624318</v>
      </c>
    </row>
    <row r="10" spans="1:19" ht="13.2" x14ac:dyDescent="0.25">
      <c r="B10" s="1"/>
    </row>
    <row r="11" spans="1:19" ht="13.2" x14ac:dyDescent="0.25">
      <c r="B11" s="1"/>
    </row>
    <row r="18" spans="3:3" x14ac:dyDescent="0.2">
      <c r="C18" s="180"/>
    </row>
    <row r="19" spans="3:3" x14ac:dyDescent="0.2">
      <c r="C19" s="180"/>
    </row>
    <row r="20" spans="3:3" x14ac:dyDescent="0.2">
      <c r="C20" s="180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1805-539C-40CE-BB49-177B73BB5A1B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workbookViewId="0">
      <selection activeCell="E39" sqref="E39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168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167</v>
      </c>
      <c r="G3" s="65" t="s">
        <v>169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171</v>
      </c>
      <c r="C35" s="67"/>
      <c r="D35" s="67"/>
      <c r="E35" s="67"/>
      <c r="F35" s="67"/>
      <c r="G35" s="67"/>
    </row>
    <row r="36" spans="2:7" x14ac:dyDescent="0.2">
      <c r="B36" s="68" t="s">
        <v>349</v>
      </c>
      <c r="C36" s="67"/>
      <c r="D36" s="67"/>
      <c r="E36" s="67"/>
      <c r="F36" s="67"/>
      <c r="G36" s="67"/>
    </row>
    <row r="37" spans="2:7" x14ac:dyDescent="0.2">
      <c r="B37" s="66" t="s">
        <v>351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352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353</v>
      </c>
      <c r="C43" s="67"/>
      <c r="D43" s="67"/>
      <c r="E43" s="67"/>
      <c r="F43" s="67"/>
      <c r="G43" s="67"/>
    </row>
    <row r="44" spans="2:7" x14ac:dyDescent="0.2">
      <c r="B44" s="66" t="s">
        <v>350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354</v>
      </c>
      <c r="C45" s="223" t="s">
        <v>355</v>
      </c>
      <c r="D45" s="223" t="s">
        <v>355</v>
      </c>
      <c r="E45" s="223" t="s">
        <v>355</v>
      </c>
      <c r="F45" s="223" t="s">
        <v>355</v>
      </c>
      <c r="G45" s="223" t="s">
        <v>355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11E2-83A7-446D-9683-E65B805A5A2A}">
  <dimension ref="A1:C25"/>
  <sheetViews>
    <sheetView workbookViewId="0"/>
  </sheetViews>
  <sheetFormatPr defaultColWidth="9.109375" defaultRowHeight="11.4" x14ac:dyDescent="0.25"/>
  <cols>
    <col min="1" max="1" width="2" style="8" customWidth="1"/>
    <col min="2" max="2" width="23.33203125" style="8" customWidth="1"/>
    <col min="3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331</v>
      </c>
    </row>
    <row r="3" spans="1:3" x14ac:dyDescent="0.25">
      <c r="B3" s="8" t="s">
        <v>322</v>
      </c>
      <c r="C3" s="174">
        <f>'Revenue automotive'!F11*1000/Deliveries!F11</f>
        <v>93.535837634366871</v>
      </c>
    </row>
    <row r="4" spans="1:3" x14ac:dyDescent="0.25">
      <c r="B4" s="8" t="s">
        <v>323</v>
      </c>
      <c r="C4" s="174">
        <f>'Revenue automotive'!I11*1000/Deliveries!I11</f>
        <v>61.729425028184892</v>
      </c>
    </row>
    <row r="5" spans="1:3" x14ac:dyDescent="0.25">
      <c r="B5" s="8" t="s">
        <v>324</v>
      </c>
      <c r="C5" s="174">
        <f>'Revenue automotive'!J11*1000/Deliveries!J11</f>
        <v>54.90235104210133</v>
      </c>
    </row>
    <row r="7" spans="1:3" x14ac:dyDescent="0.2">
      <c r="B7" s="8" t="s">
        <v>325</v>
      </c>
      <c r="C7" s="180">
        <f>Deliveries!F11</f>
        <v>103076</v>
      </c>
    </row>
    <row r="8" spans="1:3" x14ac:dyDescent="0.2">
      <c r="B8" s="8" t="s">
        <v>326</v>
      </c>
      <c r="C8" s="180">
        <f>Deliveries!I11</f>
        <v>230620</v>
      </c>
    </row>
    <row r="9" spans="1:3" x14ac:dyDescent="0.2">
      <c r="B9" s="8" t="s">
        <v>327</v>
      </c>
      <c r="C9" s="180">
        <f>Deliveries!J11</f>
        <v>364264</v>
      </c>
    </row>
    <row r="11" spans="1:3" x14ac:dyDescent="0.2">
      <c r="B11" s="8" t="s">
        <v>320</v>
      </c>
      <c r="C11" s="180">
        <f>'Revenue automotive'!F11</f>
        <v>9641.2999999999993</v>
      </c>
    </row>
    <row r="12" spans="1:3" x14ac:dyDescent="0.2">
      <c r="B12" s="8" t="s">
        <v>328</v>
      </c>
      <c r="C12" s="180">
        <f>(C8-C7)*C3/1000</f>
        <v>11929.934875237688</v>
      </c>
    </row>
    <row r="13" spans="1:3" x14ac:dyDescent="0.2">
      <c r="B13" s="8" t="s">
        <v>329</v>
      </c>
      <c r="C13" s="180">
        <f>C7*(C4-C3)/1000</f>
        <v>-3278.4777857948138</v>
      </c>
    </row>
    <row r="14" spans="1:3" x14ac:dyDescent="0.2">
      <c r="B14" s="8" t="s">
        <v>330</v>
      </c>
      <c r="C14" s="180">
        <f>(C8-C7)*(C4-C3)/1000</f>
        <v>-4056.7170894428741</v>
      </c>
    </row>
    <row r="15" spans="1:3" x14ac:dyDescent="0.2">
      <c r="B15" s="8" t="s">
        <v>321</v>
      </c>
      <c r="C15" s="180">
        <f>'Revenue automotive'!I11</f>
        <v>14236.04</v>
      </c>
    </row>
    <row r="16" spans="1:3" x14ac:dyDescent="0.2">
      <c r="C16" s="180"/>
    </row>
    <row r="17" spans="2:3" x14ac:dyDescent="0.2">
      <c r="C17" s="180"/>
    </row>
    <row r="18" spans="2:3" x14ac:dyDescent="0.2">
      <c r="C18" s="180"/>
    </row>
    <row r="19" spans="2:3" x14ac:dyDescent="0.2">
      <c r="C19" s="180"/>
    </row>
    <row r="20" spans="2:3" x14ac:dyDescent="0.2">
      <c r="C20" s="180"/>
    </row>
    <row r="21" spans="2:3" x14ac:dyDescent="0.2">
      <c r="B21" s="8" t="s">
        <v>321</v>
      </c>
      <c r="C21" s="180">
        <f>'Revenue automotive'!I11</f>
        <v>14236.04</v>
      </c>
    </row>
    <row r="22" spans="2:3" x14ac:dyDescent="0.2">
      <c r="B22" s="8" t="s">
        <v>328</v>
      </c>
      <c r="C22" s="180">
        <f>(C9-C8)*C4/1000</f>
        <v>8249.7672784667411</v>
      </c>
    </row>
    <row r="23" spans="2:3" x14ac:dyDescent="0.2">
      <c r="B23" s="8" t="s">
        <v>329</v>
      </c>
      <c r="C23" s="180">
        <f>C8*(C5-C4)/1000</f>
        <v>-1574.459802670591</v>
      </c>
    </row>
    <row r="24" spans="2:3" x14ac:dyDescent="0.2">
      <c r="B24" s="8" t="s">
        <v>330</v>
      </c>
      <c r="C24" s="180">
        <f>(C9-C8)*(C5-C4)/1000</f>
        <v>-912.39747579615153</v>
      </c>
    </row>
    <row r="25" spans="2:3" x14ac:dyDescent="0.2">
      <c r="B25" s="8" t="s">
        <v>332</v>
      </c>
      <c r="C25" s="180">
        <f>'Revenue automotive'!J11</f>
        <v>19998.95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253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224" t="s">
        <v>182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181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190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175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181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176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178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177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174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266</v>
      </c>
    </row>
    <row r="25" spans="2:19" x14ac:dyDescent="0.25">
      <c r="B25" s="8" t="s">
        <v>267</v>
      </c>
      <c r="C25" s="34">
        <v>0.1</v>
      </c>
    </row>
    <row r="26" spans="2:19" x14ac:dyDescent="0.25">
      <c r="B26" s="8" t="s">
        <v>267</v>
      </c>
      <c r="C26" s="34">
        <v>0.05</v>
      </c>
    </row>
    <row r="27" spans="2:19" x14ac:dyDescent="0.25">
      <c r="B27" s="8" t="s">
        <v>268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Working capital</vt:lpstr>
      <vt:lpstr>WC comparables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  <vt:lpstr>Bridge charts --&gt;</vt:lpstr>
      <vt:lpstr>Revenue bridge</vt:lpstr>
      <vt:lpstr>Cash flow bridge</vt:lpstr>
      <vt:lpstr>Expenses bridge</vt:lpstr>
      <vt:lpstr>Net Income bridge</vt:lpstr>
      <vt:lpstr>Other charts --&gt;</vt:lpstr>
      <vt:lpstr>Revenue by type of car</vt:lpstr>
      <vt:lpstr>Types of vehicles</vt:lpstr>
      <vt:lpstr>Profitability</vt:lpstr>
      <vt:lpstr>Price - Volume - Mix --&gt;</vt:lpstr>
      <vt:lpstr>Price-Volume-Mix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2018-11-09T13:30:46Z</dcterms:modified>
</cp:coreProperties>
</file>