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Courses\Video creating\Tesla - Complete Company Analysis\4. Financial forecasting\"/>
    </mc:Choice>
  </mc:AlternateContent>
  <xr:revisionPtr revIDLastSave="0" documentId="13_ncr:1_{671D291F-4B64-4825-8F99-73E9076E1683}" xr6:coauthVersionLast="38" xr6:coauthVersionMax="38" xr10:uidLastSave="{00000000-0000-0000-0000-000000000000}"/>
  <bookViews>
    <workbookView xWindow="0" yWindow="0" windowWidth="20496" windowHeight="8112" firstSheet="28" activeTab="31" xr2:uid="{00000000-000D-0000-FFFF-FFFF00000000}"/>
  </bookViews>
  <sheets>
    <sheet name="Cover" sheetId="183" r:id="rId1"/>
    <sheet name="Drivers" sheetId="161" r:id="rId2"/>
    <sheet name="Input --&gt;" sheetId="157" r:id="rId3"/>
    <sheet name="P&amp;L Input" sheetId="155" r:id="rId4"/>
    <sheet name="Balance Sheet Input" sheetId="154" r:id="rId5"/>
    <sheet name="Workings --&gt;" sheetId="174" r:id="rId6"/>
    <sheet name="Income Statement items" sheetId="199" r:id="rId7"/>
    <sheet name="Automotive" sheetId="187" r:id="rId8"/>
    <sheet name="Deliveries" sheetId="180" r:id="rId9"/>
    <sheet name="Deliveries development" sheetId="181" r:id="rId10"/>
    <sheet name="Deliveries comparables" sheetId="207" r:id="rId11"/>
    <sheet name="Revenue automotive" sheetId="182" r:id="rId12"/>
    <sheet name="GP% automotive" sheetId="185" r:id="rId13"/>
    <sheet name="GP automotive" sheetId="186" r:id="rId14"/>
    <sheet name="Cost of sales automotive" sheetId="193" r:id="rId15"/>
    <sheet name="Revenue &amp; GP autom" sheetId="212" r:id="rId16"/>
    <sheet name="Energy &amp; Other" sheetId="188" r:id="rId17"/>
    <sheet name="Revenue Energy &amp; Other" sheetId="191" r:id="rId18"/>
    <sheet name="GP Energy &amp; Other" sheetId="192" r:id="rId19"/>
    <sheet name="Cost of sales Energy &amp; Other" sheetId="206" r:id="rId20"/>
    <sheet name="Operating expenses" sheetId="194" r:id="rId21"/>
    <sheet name="Opex comparables" sheetId="197" r:id="rId22"/>
    <sheet name="Opex" sheetId="167" r:id="rId23"/>
    <sheet name="Balance Sheet --&gt;" sheetId="200" r:id="rId24"/>
    <sheet name="PP&amp;E --&gt;" sheetId="195" r:id="rId25"/>
    <sheet name="PP&amp;E" sheetId="168" r:id="rId26"/>
    <sheet name="PP&amp;E Comparables" sheetId="203" r:id="rId27"/>
    <sheet name="Working Capital --&gt; " sheetId="202" r:id="rId28"/>
    <sheet name="WC comparables" sheetId="204" r:id="rId29"/>
    <sheet name="Working capital" sheetId="169" r:id="rId30"/>
    <sheet name="Output --&gt;" sheetId="156" r:id="rId31"/>
    <sheet name="P&amp;L" sheetId="176" r:id="rId3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6" i="180" l="1"/>
  <c r="G41" i="154" l="1"/>
  <c r="G40" i="154"/>
  <c r="G39" i="154"/>
  <c r="F39" i="154"/>
  <c r="G12" i="192" l="1"/>
  <c r="H5" i="182" l="1"/>
  <c r="E37" i="154" l="1"/>
  <c r="D37" i="154"/>
  <c r="C37" i="154"/>
  <c r="G34" i="155" l="1"/>
  <c r="F34" i="155"/>
  <c r="E34" i="155"/>
  <c r="D34" i="155"/>
  <c r="C34" i="155"/>
  <c r="G33" i="155"/>
  <c r="F33" i="155"/>
  <c r="E33" i="155"/>
  <c r="D33" i="155"/>
  <c r="C33" i="155"/>
  <c r="G31" i="155"/>
  <c r="F31" i="155"/>
  <c r="E31" i="155"/>
  <c r="D31" i="155"/>
  <c r="C31" i="155"/>
  <c r="G30" i="155"/>
  <c r="F30" i="155"/>
  <c r="E30" i="155"/>
  <c r="D30" i="155"/>
  <c r="C30" i="155"/>
  <c r="G29" i="155"/>
  <c r="F29" i="155"/>
  <c r="E29" i="155"/>
  <c r="D29" i="155"/>
  <c r="C29" i="155"/>
  <c r="F28" i="155"/>
  <c r="E28" i="155"/>
  <c r="D28" i="155"/>
  <c r="F27" i="155"/>
  <c r="E27" i="155"/>
  <c r="D27" i="155"/>
  <c r="S22" i="191" l="1"/>
  <c r="S16" i="191"/>
  <c r="R22" i="191"/>
  <c r="R16" i="191"/>
  <c r="Q22" i="191"/>
  <c r="Q16" i="191"/>
  <c r="P22" i="191"/>
  <c r="P16" i="191"/>
  <c r="O22" i="191"/>
  <c r="O16" i="191"/>
  <c r="S12" i="191"/>
  <c r="R12" i="191"/>
  <c r="Q12" i="191"/>
  <c r="P12" i="191"/>
  <c r="O12" i="191"/>
  <c r="S19" i="182"/>
  <c r="S18" i="182"/>
  <c r="S17" i="182"/>
  <c r="S16" i="182"/>
  <c r="S15" i="182"/>
  <c r="S14" i="182"/>
  <c r="R19" i="182"/>
  <c r="R18" i="182"/>
  <c r="R17" i="182"/>
  <c r="R16" i="182"/>
  <c r="R15" i="182"/>
  <c r="R14" i="182"/>
  <c r="Q19" i="182"/>
  <c r="Q18" i="182"/>
  <c r="Q17" i="182"/>
  <c r="Q16" i="182"/>
  <c r="Q15" i="182"/>
  <c r="Q14" i="182"/>
  <c r="P19" i="182"/>
  <c r="P18" i="182"/>
  <c r="P17" i="182"/>
  <c r="P8" i="182" s="1"/>
  <c r="P16" i="182"/>
  <c r="P15" i="182"/>
  <c r="P14" i="182"/>
  <c r="O19" i="182"/>
  <c r="O18" i="182"/>
  <c r="O17" i="182"/>
  <c r="O16" i="182"/>
  <c r="O15" i="182"/>
  <c r="O14" i="182"/>
  <c r="D18" i="207"/>
  <c r="D8" i="207"/>
  <c r="C8" i="207"/>
  <c r="L8" i="180"/>
  <c r="M8" i="180" s="1"/>
  <c r="N8" i="180" s="1"/>
  <c r="O8" i="180" s="1"/>
  <c r="P8" i="180" s="1"/>
  <c r="Q8" i="180" s="1"/>
  <c r="S20" i="180"/>
  <c r="R20" i="180"/>
  <c r="Q20" i="180"/>
  <c r="P20" i="180"/>
  <c r="O20" i="180"/>
  <c r="N20" i="180"/>
  <c r="S19" i="180"/>
  <c r="R19" i="180"/>
  <c r="Q19" i="180"/>
  <c r="P19" i="180"/>
  <c r="O19" i="180"/>
  <c r="S18" i="180"/>
  <c r="R18" i="180"/>
  <c r="Q18" i="180"/>
  <c r="P18" i="180"/>
  <c r="O18" i="180"/>
  <c r="N18" i="180"/>
  <c r="S17" i="180"/>
  <c r="R17" i="180"/>
  <c r="Q17" i="180"/>
  <c r="P17" i="180"/>
  <c r="O17" i="180"/>
  <c r="N17" i="180"/>
  <c r="S16" i="180"/>
  <c r="R16" i="180"/>
  <c r="Q16" i="180"/>
  <c r="P16" i="180"/>
  <c r="O16" i="180"/>
  <c r="N16" i="180"/>
  <c r="M16" i="180"/>
  <c r="L16" i="180"/>
  <c r="K16" i="180"/>
  <c r="J16" i="180"/>
  <c r="S15" i="180"/>
  <c r="R15" i="180"/>
  <c r="Q15" i="180"/>
  <c r="P15" i="180"/>
  <c r="O15" i="180"/>
  <c r="N15" i="180"/>
  <c r="M15" i="180"/>
  <c r="L15" i="180"/>
  <c r="O8" i="182" l="1"/>
  <c r="R8" i="180"/>
  <c r="S8" i="180" s="1"/>
  <c r="S8" i="182" s="1"/>
  <c r="Q8" i="182"/>
  <c r="R8" i="182" l="1"/>
  <c r="G11" i="186" l="1"/>
  <c r="F11" i="186"/>
  <c r="F5" i="212" s="1"/>
  <c r="E11" i="186"/>
  <c r="E5" i="212" s="1"/>
  <c r="D11" i="186"/>
  <c r="D5" i="212" s="1"/>
  <c r="C11" i="186"/>
  <c r="C5" i="212" s="1"/>
  <c r="G11" i="182"/>
  <c r="F11" i="182"/>
  <c r="E6" i="182"/>
  <c r="D6" i="182"/>
  <c r="C6" i="182"/>
  <c r="F11" i="193"/>
  <c r="E11" i="193"/>
  <c r="D11" i="193"/>
  <c r="C11" i="193"/>
  <c r="J17" i="204"/>
  <c r="J13" i="204"/>
  <c r="J11" i="204"/>
  <c r="G13" i="204"/>
  <c r="G8" i="204"/>
  <c r="D15" i="204"/>
  <c r="D14" i="204"/>
  <c r="L17" i="204"/>
  <c r="L16" i="204"/>
  <c r="L12" i="204"/>
  <c r="L9" i="204"/>
  <c r="M9" i="204" s="1"/>
  <c r="L8" i="204"/>
  <c r="M8" i="204" s="1"/>
  <c r="I17" i="204"/>
  <c r="F17" i="204"/>
  <c r="G17" i="204" s="1"/>
  <c r="C17" i="204"/>
  <c r="D17" i="204" s="1"/>
  <c r="M17" i="204" s="1"/>
  <c r="I16" i="204"/>
  <c r="F16" i="204"/>
  <c r="C16" i="204"/>
  <c r="I15" i="204"/>
  <c r="J15" i="204" s="1"/>
  <c r="F15" i="204"/>
  <c r="G15" i="204" s="1"/>
  <c r="C15" i="204"/>
  <c r="L15" i="204" s="1"/>
  <c r="M15" i="204" s="1"/>
  <c r="I14" i="204"/>
  <c r="J14" i="204" s="1"/>
  <c r="F14" i="204"/>
  <c r="G14" i="204" s="1"/>
  <c r="C14" i="204"/>
  <c r="L14" i="204" s="1"/>
  <c r="M14" i="204" s="1"/>
  <c r="I13" i="204"/>
  <c r="F13" i="204"/>
  <c r="C13" i="204"/>
  <c r="D13" i="204" s="1"/>
  <c r="I12" i="204"/>
  <c r="F12" i="204"/>
  <c r="C12" i="204"/>
  <c r="I11" i="204"/>
  <c r="F11" i="204"/>
  <c r="G11" i="204" s="1"/>
  <c r="C11" i="204"/>
  <c r="D11" i="204" s="1"/>
  <c r="I10" i="204"/>
  <c r="J10" i="204" s="1"/>
  <c r="F10" i="204"/>
  <c r="G10" i="204" s="1"/>
  <c r="C10" i="204"/>
  <c r="D10" i="204" s="1"/>
  <c r="I9" i="204"/>
  <c r="J9" i="204" s="1"/>
  <c r="F9" i="204"/>
  <c r="G9" i="204" s="1"/>
  <c r="C9" i="204"/>
  <c r="D9" i="204" s="1"/>
  <c r="I8" i="204"/>
  <c r="J8" i="204" s="1"/>
  <c r="F8" i="204"/>
  <c r="C8" i="204"/>
  <c r="D8" i="204" s="1"/>
  <c r="I7" i="204"/>
  <c r="J7" i="204" s="1"/>
  <c r="F7" i="204"/>
  <c r="G7" i="204" s="1"/>
  <c r="G18" i="204" s="1"/>
  <c r="C7" i="204"/>
  <c r="L7" i="204" s="1"/>
  <c r="M7" i="204" s="1"/>
  <c r="J18" i="204" l="1"/>
  <c r="L10" i="204"/>
  <c r="M10" i="204" s="1"/>
  <c r="D7" i="204"/>
  <c r="L11" i="204"/>
  <c r="M11" i="204" s="1"/>
  <c r="L13" i="204"/>
  <c r="M13" i="204" s="1"/>
  <c r="F4" i="212"/>
  <c r="F6" i="212" s="1"/>
  <c r="G11" i="193"/>
  <c r="G8" i="206"/>
  <c r="F8" i="206"/>
  <c r="G7" i="169"/>
  <c r="G6" i="169"/>
  <c r="G5" i="169"/>
  <c r="I18" i="204"/>
  <c r="F18" i="204"/>
  <c r="C18" i="204"/>
  <c r="D9" i="203"/>
  <c r="G9" i="168"/>
  <c r="G26" i="168" s="1"/>
  <c r="G10" i="168"/>
  <c r="H7" i="168" s="1"/>
  <c r="G14" i="203"/>
  <c r="G10" i="203"/>
  <c r="D14" i="203"/>
  <c r="D12" i="203"/>
  <c r="D11" i="203"/>
  <c r="D10" i="203"/>
  <c r="D7" i="203"/>
  <c r="F16" i="203"/>
  <c r="G16" i="203" s="1"/>
  <c r="C16" i="203"/>
  <c r="D16" i="203" s="1"/>
  <c r="F15" i="203"/>
  <c r="G15" i="203" s="1"/>
  <c r="C15" i="203"/>
  <c r="D15" i="203" s="1"/>
  <c r="F14" i="203"/>
  <c r="C14" i="203"/>
  <c r="C13" i="203"/>
  <c r="D13" i="203" s="1"/>
  <c r="F13" i="203"/>
  <c r="G13" i="203" s="1"/>
  <c r="F12" i="203"/>
  <c r="G12" i="203" s="1"/>
  <c r="F11" i="203"/>
  <c r="G11" i="203" s="1"/>
  <c r="C11" i="203"/>
  <c r="F10" i="203"/>
  <c r="C10" i="203"/>
  <c r="F9" i="203"/>
  <c r="G9" i="203" s="1"/>
  <c r="C9" i="203"/>
  <c r="F8" i="203"/>
  <c r="G8" i="203" s="1"/>
  <c r="C8" i="203"/>
  <c r="D8" i="203" s="1"/>
  <c r="F7" i="203"/>
  <c r="G7" i="203" s="1"/>
  <c r="C7" i="203"/>
  <c r="L18" i="204" l="1"/>
  <c r="G8" i="169"/>
  <c r="M18" i="204"/>
  <c r="D18" i="204"/>
  <c r="G18" i="203"/>
  <c r="C18" i="203"/>
  <c r="F18" i="203"/>
  <c r="D18" i="203"/>
  <c r="B3" i="168" l="1"/>
  <c r="C7" i="197" l="1"/>
  <c r="D7" i="197" s="1"/>
  <c r="C17" i="197"/>
  <c r="C16" i="197"/>
  <c r="D16" i="197" s="1"/>
  <c r="C15" i="197"/>
  <c r="D15" i="197" s="1"/>
  <c r="C12" i="197"/>
  <c r="C14" i="197"/>
  <c r="C13" i="197"/>
  <c r="D13" i="197" s="1"/>
  <c r="C11" i="197"/>
  <c r="D11" i="197" s="1"/>
  <c r="C10" i="197"/>
  <c r="D10" i="197" s="1"/>
  <c r="C9" i="197"/>
  <c r="D9" i="197" s="1"/>
  <c r="C8" i="197"/>
  <c r="D8" i="197" s="1"/>
  <c r="G7" i="167"/>
  <c r="F7" i="167"/>
  <c r="E7" i="167"/>
  <c r="D7" i="167"/>
  <c r="C7" i="167"/>
  <c r="G6" i="192"/>
  <c r="G5" i="192"/>
  <c r="G7" i="192" l="1"/>
  <c r="G9" i="192" s="1"/>
  <c r="D18" i="197"/>
  <c r="C18" i="197"/>
  <c r="E8" i="192"/>
  <c r="C8" i="192"/>
  <c r="D8" i="192"/>
  <c r="F6" i="192"/>
  <c r="E6" i="192"/>
  <c r="D6" i="192"/>
  <c r="C6" i="192"/>
  <c r="F5" i="192"/>
  <c r="E5" i="192"/>
  <c r="D5" i="192"/>
  <c r="C5" i="192"/>
  <c r="C7" i="192" s="1"/>
  <c r="C9" i="192" s="1"/>
  <c r="N12" i="191"/>
  <c r="M12" i="191"/>
  <c r="L12" i="191"/>
  <c r="K12" i="191"/>
  <c r="J12" i="191"/>
  <c r="N22" i="191"/>
  <c r="M22" i="191"/>
  <c r="L22" i="191"/>
  <c r="K22" i="191"/>
  <c r="J22" i="191"/>
  <c r="N16" i="191"/>
  <c r="M16" i="191"/>
  <c r="L16" i="191"/>
  <c r="K16" i="191"/>
  <c r="J16" i="191"/>
  <c r="I8" i="191"/>
  <c r="E8" i="206"/>
  <c r="D8" i="206"/>
  <c r="C8" i="206"/>
  <c r="G6" i="191"/>
  <c r="G5" i="191"/>
  <c r="F6" i="191"/>
  <c r="F5" i="191"/>
  <c r="E6" i="191"/>
  <c r="E5" i="191"/>
  <c r="E5" i="206" s="1"/>
  <c r="D6" i="191"/>
  <c r="D5" i="191"/>
  <c r="D5" i="206" s="1"/>
  <c r="C6" i="191"/>
  <c r="C6" i="206" s="1"/>
  <c r="C5" i="191"/>
  <c r="D7" i="192" l="1"/>
  <c r="D9" i="192" s="1"/>
  <c r="E7" i="192"/>
  <c r="E9" i="192" s="1"/>
  <c r="F7" i="192"/>
  <c r="F9" i="192" s="1"/>
  <c r="E6" i="206"/>
  <c r="E7" i="206" s="1"/>
  <c r="F5" i="206"/>
  <c r="F6" i="206"/>
  <c r="D6" i="206"/>
  <c r="D7" i="206" s="1"/>
  <c r="C5" i="206"/>
  <c r="C7" i="206" s="1"/>
  <c r="H5" i="191"/>
  <c r="G5" i="206"/>
  <c r="H6" i="191"/>
  <c r="I6" i="191" s="1"/>
  <c r="G6" i="206"/>
  <c r="S17" i="167"/>
  <c r="K17" i="167"/>
  <c r="P17" i="167"/>
  <c r="M17" i="167"/>
  <c r="L17" i="167"/>
  <c r="R17" i="167"/>
  <c r="J17" i="167"/>
  <c r="Q17" i="167"/>
  <c r="O17" i="167"/>
  <c r="N17" i="167"/>
  <c r="E7" i="191"/>
  <c r="E9" i="191" s="1"/>
  <c r="D7" i="191"/>
  <c r="D9" i="191" s="1"/>
  <c r="F7" i="191"/>
  <c r="C7" i="191"/>
  <c r="C9" i="191" s="1"/>
  <c r="C12" i="192" s="1"/>
  <c r="G7" i="191"/>
  <c r="G9" i="191" s="1"/>
  <c r="G5" i="167" s="1"/>
  <c r="F11" i="185"/>
  <c r="E11" i="185"/>
  <c r="D11" i="185"/>
  <c r="H11" i="185" s="1"/>
  <c r="F10" i="185"/>
  <c r="E10" i="185"/>
  <c r="D10" i="185"/>
  <c r="H10" i="185" s="1"/>
  <c r="F9" i="185"/>
  <c r="E9" i="185"/>
  <c r="D9" i="185"/>
  <c r="H9" i="185" s="1"/>
  <c r="F8" i="185"/>
  <c r="H8" i="185" s="1"/>
  <c r="F7" i="185"/>
  <c r="H7" i="185" s="1"/>
  <c r="F6" i="185"/>
  <c r="E6" i="185"/>
  <c r="D6" i="185"/>
  <c r="H6" i="185" s="1"/>
  <c r="E12" i="192" l="1"/>
  <c r="H7" i="191"/>
  <c r="H9" i="191" s="1"/>
  <c r="C9" i="206"/>
  <c r="R30" i="186"/>
  <c r="P30" i="186"/>
  <c r="Q30" i="186"/>
  <c r="S30" i="186"/>
  <c r="O30" i="186"/>
  <c r="L30" i="186"/>
  <c r="K30" i="186"/>
  <c r="G30" i="186"/>
  <c r="N30" i="186"/>
  <c r="M30" i="186"/>
  <c r="J30" i="186"/>
  <c r="H30" i="186"/>
  <c r="I30" i="186"/>
  <c r="S35" i="186"/>
  <c r="O35" i="186"/>
  <c r="P35" i="186"/>
  <c r="Q35" i="186"/>
  <c r="R35" i="186"/>
  <c r="N35" i="186"/>
  <c r="M35" i="186"/>
  <c r="I35" i="186"/>
  <c r="H35" i="186"/>
  <c r="L35" i="186"/>
  <c r="K35" i="186"/>
  <c r="G35" i="186"/>
  <c r="J35" i="186"/>
  <c r="R34" i="186"/>
  <c r="S34" i="186"/>
  <c r="O34" i="186"/>
  <c r="P34" i="186"/>
  <c r="Q34" i="186"/>
  <c r="L34" i="186"/>
  <c r="K34" i="186"/>
  <c r="G34" i="186"/>
  <c r="J34" i="186"/>
  <c r="I34" i="186"/>
  <c r="H34" i="186"/>
  <c r="N34" i="186"/>
  <c r="M34" i="186"/>
  <c r="Q31" i="186"/>
  <c r="P31" i="186"/>
  <c r="R31" i="186"/>
  <c r="S31" i="186"/>
  <c r="O31" i="186"/>
  <c r="N31" i="186"/>
  <c r="H31" i="186"/>
  <c r="M31" i="186"/>
  <c r="J31" i="186"/>
  <c r="I31" i="186"/>
  <c r="G31" i="186"/>
  <c r="L31" i="186"/>
  <c r="K31" i="186"/>
  <c r="O32" i="186"/>
  <c r="R32" i="186"/>
  <c r="S32" i="186"/>
  <c r="P32" i="186"/>
  <c r="Q32" i="186"/>
  <c r="G32" i="186"/>
  <c r="H32" i="186"/>
  <c r="K32" i="186"/>
  <c r="J32" i="186"/>
  <c r="N32" i="186"/>
  <c r="M32" i="186"/>
  <c r="L32" i="186"/>
  <c r="I32" i="186"/>
  <c r="D9" i="206"/>
  <c r="R33" i="186"/>
  <c r="Q33" i="186"/>
  <c r="S33" i="186"/>
  <c r="O33" i="186"/>
  <c r="P33" i="186"/>
  <c r="J33" i="186"/>
  <c r="I33" i="186"/>
  <c r="N33" i="186"/>
  <c r="H33" i="186"/>
  <c r="L33" i="186"/>
  <c r="M33" i="186"/>
  <c r="G33" i="186"/>
  <c r="K33" i="186"/>
  <c r="E9" i="206"/>
  <c r="R10" i="167"/>
  <c r="R6" i="167" s="1"/>
  <c r="R14" i="167"/>
  <c r="R20" i="167"/>
  <c r="L20" i="167"/>
  <c r="L14" i="167"/>
  <c r="S14" i="167"/>
  <c r="S20" i="167"/>
  <c r="S10" i="167"/>
  <c r="S6" i="167" s="1"/>
  <c r="F9" i="191"/>
  <c r="F19" i="191" s="1"/>
  <c r="Q20" i="167"/>
  <c r="Q14" i="167"/>
  <c r="Q10" i="167"/>
  <c r="Q6" i="167" s="1"/>
  <c r="J14" i="167"/>
  <c r="J20" i="167"/>
  <c r="I5" i="191"/>
  <c r="I7" i="191" s="1"/>
  <c r="M20" i="167"/>
  <c r="M14" i="167"/>
  <c r="G7" i="206"/>
  <c r="G9" i="206" s="1"/>
  <c r="F7" i="206"/>
  <c r="O14" i="167"/>
  <c r="O20" i="167"/>
  <c r="O10" i="167"/>
  <c r="O6" i="167" s="1"/>
  <c r="P14" i="167"/>
  <c r="P20" i="167"/>
  <c r="P10" i="167"/>
  <c r="P6" i="167" s="1"/>
  <c r="N20" i="167"/>
  <c r="N14" i="167"/>
  <c r="K14" i="167"/>
  <c r="K20" i="167"/>
  <c r="D19" i="191"/>
  <c r="D12" i="192"/>
  <c r="E19" i="191"/>
  <c r="N19" i="182"/>
  <c r="M19" i="182"/>
  <c r="L19" i="182"/>
  <c r="K19" i="182"/>
  <c r="J19" i="182"/>
  <c r="J10" i="182" s="1"/>
  <c r="I19" i="182"/>
  <c r="N18" i="182"/>
  <c r="M18" i="182"/>
  <c r="L18" i="182"/>
  <c r="K18" i="182"/>
  <c r="J18" i="182"/>
  <c r="J9" i="182" s="1"/>
  <c r="I18" i="182"/>
  <c r="N17" i="182"/>
  <c r="M17" i="182"/>
  <c r="L17" i="182"/>
  <c r="K17" i="182"/>
  <c r="K8" i="182" s="1"/>
  <c r="J17" i="182"/>
  <c r="J8" i="182" s="1"/>
  <c r="I17" i="182"/>
  <c r="N16" i="182"/>
  <c r="M16" i="182"/>
  <c r="L16" i="182"/>
  <c r="K16" i="182"/>
  <c r="J16" i="182"/>
  <c r="I16" i="182"/>
  <c r="N15" i="182"/>
  <c r="M15" i="182"/>
  <c r="L15" i="182"/>
  <c r="K15" i="182"/>
  <c r="J15" i="182"/>
  <c r="I15" i="182"/>
  <c r="N14" i="182"/>
  <c r="M14" i="182"/>
  <c r="L14" i="182"/>
  <c r="K14" i="182"/>
  <c r="J14" i="182"/>
  <c r="J5" i="182" s="1"/>
  <c r="I14" i="182"/>
  <c r="H10" i="182"/>
  <c r="G10" i="182"/>
  <c r="F10" i="182"/>
  <c r="E10" i="182"/>
  <c r="D10" i="182"/>
  <c r="C10" i="182"/>
  <c r="H9" i="182"/>
  <c r="G9" i="182"/>
  <c r="F9" i="182"/>
  <c r="E9" i="182"/>
  <c r="D9" i="182"/>
  <c r="C9" i="182"/>
  <c r="H8" i="182"/>
  <c r="G8" i="182"/>
  <c r="F8" i="182"/>
  <c r="E8" i="182"/>
  <c r="D8" i="182"/>
  <c r="C8" i="182"/>
  <c r="H7" i="182"/>
  <c r="G7" i="182"/>
  <c r="F7" i="182"/>
  <c r="E7" i="182"/>
  <c r="D7" i="182"/>
  <c r="C7" i="182"/>
  <c r="T6" i="182"/>
  <c r="F11" i="180"/>
  <c r="E11" i="180"/>
  <c r="D11" i="180"/>
  <c r="C11" i="180"/>
  <c r="J7" i="180"/>
  <c r="K5" i="180"/>
  <c r="L5" i="180" s="1"/>
  <c r="M5" i="180" s="1"/>
  <c r="N5" i="180" s="1"/>
  <c r="O5" i="180" s="1"/>
  <c r="J5" i="180"/>
  <c r="F16" i="180"/>
  <c r="E16" i="180"/>
  <c r="D16" i="180"/>
  <c r="H5" i="180"/>
  <c r="H11" i="180" s="1"/>
  <c r="G6" i="180"/>
  <c r="I6" i="180" s="1"/>
  <c r="I10" i="180"/>
  <c r="I9" i="180"/>
  <c r="I8" i="180"/>
  <c r="I7" i="180"/>
  <c r="I9" i="182" l="1"/>
  <c r="I9" i="191"/>
  <c r="J7" i="191"/>
  <c r="P5" i="180"/>
  <c r="O5" i="182"/>
  <c r="P17" i="186"/>
  <c r="P8" i="186" s="1"/>
  <c r="P8" i="193" s="1"/>
  <c r="P25" i="186"/>
  <c r="P41" i="186"/>
  <c r="P27" i="186"/>
  <c r="P43" i="186"/>
  <c r="P19" i="186"/>
  <c r="M24" i="186"/>
  <c r="M40" i="186"/>
  <c r="M16" i="186"/>
  <c r="M18" i="186"/>
  <c r="M26" i="186"/>
  <c r="M42" i="186"/>
  <c r="O19" i="186"/>
  <c r="O27" i="186"/>
  <c r="O43" i="186"/>
  <c r="R16" i="186"/>
  <c r="R40" i="186"/>
  <c r="R24" i="186"/>
  <c r="L22" i="186"/>
  <c r="L38" i="186"/>
  <c r="L14" i="186"/>
  <c r="L41" i="186"/>
  <c r="L25" i="186"/>
  <c r="L17" i="186"/>
  <c r="J24" i="186"/>
  <c r="J40" i="186"/>
  <c r="J16" i="186"/>
  <c r="O18" i="186"/>
  <c r="O42" i="186"/>
  <c r="O26" i="186"/>
  <c r="I22" i="186"/>
  <c r="I38" i="186"/>
  <c r="I14" i="186"/>
  <c r="H25" i="186"/>
  <c r="H41" i="186"/>
  <c r="H17" i="186"/>
  <c r="H8" i="186" s="1"/>
  <c r="H8" i="193" s="1"/>
  <c r="R25" i="186"/>
  <c r="R41" i="186"/>
  <c r="R17" i="186"/>
  <c r="R8" i="186" s="1"/>
  <c r="R8" i="193" s="1"/>
  <c r="K40" i="186"/>
  <c r="K24" i="186"/>
  <c r="K16" i="186"/>
  <c r="K23" i="186"/>
  <c r="K39" i="186"/>
  <c r="K15" i="186"/>
  <c r="O23" i="186"/>
  <c r="O39" i="186"/>
  <c r="O15" i="186"/>
  <c r="I42" i="186"/>
  <c r="I26" i="186"/>
  <c r="I18" i="186"/>
  <c r="S18" i="186"/>
  <c r="S26" i="186"/>
  <c r="S42" i="186"/>
  <c r="M19" i="186"/>
  <c r="M27" i="186"/>
  <c r="M43" i="186"/>
  <c r="H22" i="186"/>
  <c r="H38" i="186"/>
  <c r="H14" i="186"/>
  <c r="S14" i="186"/>
  <c r="S38" i="186"/>
  <c r="S22" i="186"/>
  <c r="F12" i="192"/>
  <c r="M18" i="192" s="1"/>
  <c r="F5" i="167"/>
  <c r="F6" i="167" s="1"/>
  <c r="P16" i="186"/>
  <c r="P24" i="186"/>
  <c r="P40" i="186"/>
  <c r="Q23" i="186"/>
  <c r="Q39" i="186"/>
  <c r="Q15" i="186"/>
  <c r="G22" i="186"/>
  <c r="G38" i="186"/>
  <c r="G14" i="186"/>
  <c r="Q18" i="186"/>
  <c r="Q42" i="186"/>
  <c r="Q26" i="186"/>
  <c r="N16" i="186"/>
  <c r="N24" i="186"/>
  <c r="N40" i="186"/>
  <c r="N42" i="186"/>
  <c r="N26" i="186"/>
  <c r="N18" i="186"/>
  <c r="S19" i="186"/>
  <c r="S27" i="186"/>
  <c r="S43" i="186"/>
  <c r="L5" i="182"/>
  <c r="Q17" i="186"/>
  <c r="Q8" i="186" s="1"/>
  <c r="Q8" i="193" s="1"/>
  <c r="Q25" i="186"/>
  <c r="Q41" i="186"/>
  <c r="O24" i="186"/>
  <c r="O40" i="186"/>
  <c r="O16" i="186"/>
  <c r="I27" i="186"/>
  <c r="I43" i="186"/>
  <c r="I19" i="186"/>
  <c r="O14" i="186"/>
  <c r="O5" i="186" s="1"/>
  <c r="O22" i="186"/>
  <c r="O38" i="186"/>
  <c r="F9" i="206"/>
  <c r="N17" i="186"/>
  <c r="N41" i="186"/>
  <c r="N25" i="186"/>
  <c r="H40" i="186"/>
  <c r="H24" i="186"/>
  <c r="H16" i="186"/>
  <c r="H7" i="186" s="1"/>
  <c r="H7" i="193" s="1"/>
  <c r="L15" i="186"/>
  <c r="L23" i="186"/>
  <c r="L39" i="186"/>
  <c r="S15" i="186"/>
  <c r="S23" i="186"/>
  <c r="S39" i="186"/>
  <c r="J18" i="186"/>
  <c r="J42" i="186"/>
  <c r="J26" i="186"/>
  <c r="R26" i="186"/>
  <c r="R42" i="186"/>
  <c r="R18" i="186"/>
  <c r="N19" i="186"/>
  <c r="N27" i="186"/>
  <c r="N43" i="186"/>
  <c r="J14" i="186"/>
  <c r="J5" i="186" s="1"/>
  <c r="J5" i="193" s="1"/>
  <c r="J38" i="186"/>
  <c r="J22" i="186"/>
  <c r="Q22" i="186"/>
  <c r="Q38" i="186"/>
  <c r="Q14" i="186"/>
  <c r="K41" i="186"/>
  <c r="K25" i="186"/>
  <c r="K17" i="186"/>
  <c r="K8" i="186" s="1"/>
  <c r="K8" i="193" s="1"/>
  <c r="J23" i="186"/>
  <c r="J39" i="186"/>
  <c r="J15" i="186"/>
  <c r="K43" i="186"/>
  <c r="K27" i="186"/>
  <c r="K19" i="186"/>
  <c r="O17" i="186"/>
  <c r="O8" i="186" s="1"/>
  <c r="O8" i="193" s="1"/>
  <c r="O25" i="186"/>
  <c r="O41" i="186"/>
  <c r="S40" i="186"/>
  <c r="S24" i="186"/>
  <c r="S16" i="186"/>
  <c r="L19" i="186"/>
  <c r="L43" i="186"/>
  <c r="L27" i="186"/>
  <c r="M25" i="186"/>
  <c r="M41" i="186"/>
  <c r="M17" i="186"/>
  <c r="P26" i="186"/>
  <c r="P42" i="186"/>
  <c r="P18" i="186"/>
  <c r="N39" i="186"/>
  <c r="N23" i="186"/>
  <c r="N15" i="186"/>
  <c r="I17" i="186"/>
  <c r="I25" i="186"/>
  <c r="I41" i="186"/>
  <c r="G24" i="186"/>
  <c r="G40" i="186"/>
  <c r="G16" i="186"/>
  <c r="G7" i="186" s="1"/>
  <c r="G39" i="186"/>
  <c r="G23" i="186"/>
  <c r="G15" i="186"/>
  <c r="R15" i="186"/>
  <c r="R23" i="186"/>
  <c r="R39" i="186"/>
  <c r="G42" i="186"/>
  <c r="G26" i="186"/>
  <c r="G18" i="186"/>
  <c r="G9" i="186" s="1"/>
  <c r="J43" i="186"/>
  <c r="J27" i="186"/>
  <c r="J19" i="186"/>
  <c r="J10" i="186" s="1"/>
  <c r="J10" i="193" s="1"/>
  <c r="R19" i="186"/>
  <c r="R43" i="186"/>
  <c r="R27" i="186"/>
  <c r="M14" i="186"/>
  <c r="M38" i="186"/>
  <c r="M22" i="186"/>
  <c r="P22" i="186"/>
  <c r="P38" i="186"/>
  <c r="P14" i="186"/>
  <c r="L24" i="186"/>
  <c r="L40" i="186"/>
  <c r="L16" i="186"/>
  <c r="L26" i="186"/>
  <c r="L42" i="186"/>
  <c r="L18" i="186"/>
  <c r="G25" i="186"/>
  <c r="G41" i="186"/>
  <c r="G17" i="186"/>
  <c r="G8" i="186" s="1"/>
  <c r="M15" i="186"/>
  <c r="M39" i="186"/>
  <c r="M23" i="186"/>
  <c r="K14" i="186"/>
  <c r="K38" i="186"/>
  <c r="K22" i="186"/>
  <c r="S41" i="186"/>
  <c r="S25" i="186"/>
  <c r="S17" i="186"/>
  <c r="S8" i="186" s="1"/>
  <c r="S8" i="193" s="1"/>
  <c r="H39" i="186"/>
  <c r="H23" i="186"/>
  <c r="H15" i="186"/>
  <c r="H27" i="186"/>
  <c r="H43" i="186"/>
  <c r="H19" i="186"/>
  <c r="H10" i="186" s="1"/>
  <c r="H10" i="193" s="1"/>
  <c r="H26" i="186"/>
  <c r="H42" i="186"/>
  <c r="H18" i="186"/>
  <c r="H9" i="186" s="1"/>
  <c r="H9" i="193" s="1"/>
  <c r="I6" i="182"/>
  <c r="H6" i="182"/>
  <c r="J25" i="186"/>
  <c r="J41" i="186"/>
  <c r="J17" i="186"/>
  <c r="J8" i="186" s="1"/>
  <c r="J8" i="193" s="1"/>
  <c r="I40" i="186"/>
  <c r="I24" i="186"/>
  <c r="I16" i="186"/>
  <c r="Q16" i="186"/>
  <c r="Q40" i="186"/>
  <c r="Q24" i="186"/>
  <c r="I39" i="186"/>
  <c r="I23" i="186"/>
  <c r="I15" i="186"/>
  <c r="P39" i="186"/>
  <c r="P23" i="186"/>
  <c r="P15" i="186"/>
  <c r="K18" i="186"/>
  <c r="K26" i="186"/>
  <c r="K42" i="186"/>
  <c r="G27" i="186"/>
  <c r="G43" i="186"/>
  <c r="G19" i="186"/>
  <c r="G10" i="186" s="1"/>
  <c r="Q19" i="186"/>
  <c r="Q43" i="186"/>
  <c r="Q27" i="186"/>
  <c r="N22" i="186"/>
  <c r="N38" i="186"/>
  <c r="N14" i="186"/>
  <c r="R38" i="186"/>
  <c r="R22" i="186"/>
  <c r="R14" i="186"/>
  <c r="I10" i="182"/>
  <c r="J9" i="186"/>
  <c r="J9" i="193" s="1"/>
  <c r="K5" i="182"/>
  <c r="I8" i="182"/>
  <c r="J7" i="182"/>
  <c r="N5" i="182"/>
  <c r="I7" i="182"/>
  <c r="N18" i="192"/>
  <c r="N22" i="192" s="1"/>
  <c r="M5" i="182"/>
  <c r="E11" i="182"/>
  <c r="E4" i="212" s="1"/>
  <c r="E6" i="212" s="1"/>
  <c r="D11" i="182"/>
  <c r="D4" i="212" s="1"/>
  <c r="D6" i="212" s="1"/>
  <c r="K15" i="180"/>
  <c r="M19" i="180" s="1"/>
  <c r="N19" i="180"/>
  <c r="G11" i="180"/>
  <c r="L5" i="186" l="1"/>
  <c r="L5" i="193" s="1"/>
  <c r="G10" i="193"/>
  <c r="I10" i="186"/>
  <c r="I10" i="193" s="1"/>
  <c r="G7" i="193"/>
  <c r="I7" i="186"/>
  <c r="I7" i="193" s="1"/>
  <c r="G8" i="193"/>
  <c r="I8" i="186"/>
  <c r="I8" i="193" s="1"/>
  <c r="M22" i="192"/>
  <c r="M15" i="192"/>
  <c r="M12" i="192"/>
  <c r="G9" i="193"/>
  <c r="I9" i="186"/>
  <c r="I9" i="193" s="1"/>
  <c r="L18" i="192"/>
  <c r="L22" i="192" s="1"/>
  <c r="K18" i="192"/>
  <c r="K22" i="192" s="1"/>
  <c r="Q5" i="180"/>
  <c r="P5" i="182"/>
  <c r="P5" i="186" s="1"/>
  <c r="O5" i="193"/>
  <c r="O18" i="192"/>
  <c r="J9" i="191"/>
  <c r="K7" i="191"/>
  <c r="H6" i="186"/>
  <c r="H6" i="193" s="1"/>
  <c r="S18" i="192"/>
  <c r="R18" i="192"/>
  <c r="P18" i="192"/>
  <c r="J18" i="192"/>
  <c r="I18" i="192"/>
  <c r="I22" i="192" s="1"/>
  <c r="Q18" i="192"/>
  <c r="N5" i="186"/>
  <c r="N5" i="193" s="1"/>
  <c r="M5" i="186"/>
  <c r="M5" i="193" s="1"/>
  <c r="J7" i="186"/>
  <c r="J7" i="193" s="1"/>
  <c r="K5" i="186"/>
  <c r="K5" i="193" s="1"/>
  <c r="D5" i="167"/>
  <c r="D6" i="167" s="1"/>
  <c r="E5" i="167"/>
  <c r="E6" i="167" s="1"/>
  <c r="N15" i="192"/>
  <c r="N12" i="192"/>
  <c r="I15" i="192"/>
  <c r="I12" i="192"/>
  <c r="I9" i="192" s="1"/>
  <c r="I9" i="206" s="1"/>
  <c r="H9" i="206" s="1"/>
  <c r="C11" i="182"/>
  <c r="H11" i="182"/>
  <c r="H5" i="186"/>
  <c r="H5" i="193" s="1"/>
  <c r="M17" i="180"/>
  <c r="H11" i="193" l="1"/>
  <c r="P15" i="192"/>
  <c r="P12" i="192"/>
  <c r="P22" i="192"/>
  <c r="O15" i="192"/>
  <c r="O22" i="192"/>
  <c r="O12" i="192"/>
  <c r="L7" i="191"/>
  <c r="K9" i="191"/>
  <c r="L15" i="192"/>
  <c r="S22" i="192"/>
  <c r="S12" i="192"/>
  <c r="S15" i="192"/>
  <c r="C5" i="167"/>
  <c r="C6" i="167" s="1"/>
  <c r="C4" i="212"/>
  <c r="C6" i="212" s="1"/>
  <c r="K12" i="192"/>
  <c r="K9" i="192" s="1"/>
  <c r="K9" i="206" s="1"/>
  <c r="R5" i="180"/>
  <c r="Q5" i="182"/>
  <c r="K15" i="192"/>
  <c r="P5" i="193"/>
  <c r="Q15" i="192"/>
  <c r="Q22" i="192"/>
  <c r="Q12" i="192"/>
  <c r="R22" i="192"/>
  <c r="R12" i="192"/>
  <c r="R15" i="192"/>
  <c r="J15" i="192"/>
  <c r="J22" i="192"/>
  <c r="J12" i="192"/>
  <c r="J9" i="192" s="1"/>
  <c r="J9" i="206" s="1"/>
  <c r="L12" i="192"/>
  <c r="H5" i="167"/>
  <c r="I5" i="167" s="1"/>
  <c r="H11" i="186"/>
  <c r="I11" i="186" s="1"/>
  <c r="I5" i="212" s="1"/>
  <c r="Q5" i="186" l="1"/>
  <c r="L9" i="191"/>
  <c r="L9" i="192" s="1"/>
  <c r="L9" i="206" s="1"/>
  <c r="M7" i="191"/>
  <c r="S5" i="180"/>
  <c r="R5" i="182"/>
  <c r="G29" i="168"/>
  <c r="H17" i="167"/>
  <c r="G6" i="167"/>
  <c r="J10" i="167"/>
  <c r="J6" i="167" s="1"/>
  <c r="M9" i="191" l="1"/>
  <c r="M9" i="192" s="1"/>
  <c r="M9" i="206" s="1"/>
  <c r="N7" i="191"/>
  <c r="R5" i="186"/>
  <c r="Q5" i="193"/>
  <c r="S5" i="182"/>
  <c r="N10" i="167"/>
  <c r="N6" i="167" s="1"/>
  <c r="H10" i="167"/>
  <c r="H6" i="167" s="1"/>
  <c r="H7" i="167" s="1"/>
  <c r="H20" i="167"/>
  <c r="H14" i="167"/>
  <c r="L10" i="167"/>
  <c r="L6" i="167" s="1"/>
  <c r="M10" i="167"/>
  <c r="M6" i="167" s="1"/>
  <c r="K10" i="167"/>
  <c r="K6" i="167" s="1"/>
  <c r="I5" i="180"/>
  <c r="G13" i="169"/>
  <c r="G12" i="169"/>
  <c r="G11" i="169"/>
  <c r="G31" i="154"/>
  <c r="G29" i="154"/>
  <c r="G26" i="154"/>
  <c r="G37" i="154" s="1"/>
  <c r="G9" i="154"/>
  <c r="G17" i="154" s="1"/>
  <c r="G32" i="155"/>
  <c r="G7" i="155"/>
  <c r="G11" i="155" s="1"/>
  <c r="G15" i="155" s="1"/>
  <c r="F14" i="154"/>
  <c r="G14" i="169" l="1"/>
  <c r="R5" i="193"/>
  <c r="S5" i="186"/>
  <c r="N9" i="191"/>
  <c r="N9" i="192" s="1"/>
  <c r="N9" i="206" s="1"/>
  <c r="O7" i="191"/>
  <c r="G30" i="154"/>
  <c r="G33" i="154" s="1"/>
  <c r="I7" i="167"/>
  <c r="I15" i="180"/>
  <c r="I5" i="182"/>
  <c r="I11" i="180"/>
  <c r="J15" i="180"/>
  <c r="G38" i="154"/>
  <c r="G42" i="154"/>
  <c r="G19" i="155"/>
  <c r="G21" i="155" s="1"/>
  <c r="G23" i="155" s="1"/>
  <c r="G44" i="154" l="1"/>
  <c r="P7" i="191"/>
  <c r="O9" i="191"/>
  <c r="S5" i="193"/>
  <c r="I11" i="182"/>
  <c r="L17" i="180"/>
  <c r="L19" i="180"/>
  <c r="K17" i="180"/>
  <c r="K19" i="180"/>
  <c r="G35" i="155"/>
  <c r="G36" i="155"/>
  <c r="O9" i="192" l="1"/>
  <c r="O9" i="206" s="1"/>
  <c r="Q7" i="191"/>
  <c r="P9" i="191"/>
  <c r="I4" i="212"/>
  <c r="I6" i="212" s="1"/>
  <c r="I11" i="193"/>
  <c r="P9" i="192" l="1"/>
  <c r="P9" i="206" s="1"/>
  <c r="R7" i="191"/>
  <c r="Q9" i="191"/>
  <c r="Q9" i="192" l="1"/>
  <c r="Q9" i="206" s="1"/>
  <c r="S7" i="191"/>
  <c r="S9" i="191" s="1"/>
  <c r="R9" i="191"/>
  <c r="R9" i="192" l="1"/>
  <c r="R9" i="206" s="1"/>
  <c r="S9" i="192"/>
  <c r="S9" i="206" s="1"/>
  <c r="F7" i="169"/>
  <c r="E7" i="169"/>
  <c r="D7" i="169"/>
  <c r="C7" i="169"/>
  <c r="F6" i="169"/>
  <c r="E6" i="169"/>
  <c r="D6" i="169"/>
  <c r="C6" i="169"/>
  <c r="F5" i="169"/>
  <c r="E5" i="169"/>
  <c r="D5" i="169"/>
  <c r="C5" i="169"/>
  <c r="F8" i="169" l="1"/>
  <c r="C8" i="169"/>
  <c r="D8" i="169"/>
  <c r="E8" i="169"/>
  <c r="F9" i="168" l="1"/>
  <c r="F29" i="168" s="1"/>
  <c r="E9" i="168"/>
  <c r="D9" i="168"/>
  <c r="D29" i="168" s="1"/>
  <c r="C9" i="168"/>
  <c r="C7" i="168"/>
  <c r="F10" i="168"/>
  <c r="E10" i="168"/>
  <c r="D10" i="168"/>
  <c r="C10" i="168"/>
  <c r="C30" i="154"/>
  <c r="C33" i="154" s="1"/>
  <c r="D30" i="154"/>
  <c r="D33" i="154" s="1"/>
  <c r="F26" i="154"/>
  <c r="F37" i="154" s="1"/>
  <c r="C9" i="154"/>
  <c r="C17" i="154" s="1"/>
  <c r="C44" i="154" s="1"/>
  <c r="D9" i="154"/>
  <c r="D17" i="154" s="1"/>
  <c r="D44" i="154" s="1"/>
  <c r="E9" i="154"/>
  <c r="E17" i="154" s="1"/>
  <c r="F9" i="154"/>
  <c r="F41" i="154"/>
  <c r="F13" i="169" s="1"/>
  <c r="F40" i="154"/>
  <c r="F12" i="169" s="1"/>
  <c r="F32" i="155"/>
  <c r="F26" i="155"/>
  <c r="F7" i="155"/>
  <c r="F11" i="155" s="1"/>
  <c r="F15" i="155" s="1"/>
  <c r="E29" i="168" l="1"/>
  <c r="C26" i="168"/>
  <c r="C29" i="168"/>
  <c r="G7" i="168"/>
  <c r="G8" i="168" s="1"/>
  <c r="I7" i="168"/>
  <c r="F11" i="169"/>
  <c r="F14" i="169" s="1"/>
  <c r="F19" i="155"/>
  <c r="F21" i="155" s="1"/>
  <c r="F23" i="155" s="1"/>
  <c r="D26" i="168"/>
  <c r="E26" i="168"/>
  <c r="F26" i="168"/>
  <c r="F17" i="154"/>
  <c r="F30" i="154"/>
  <c r="F33" i="154" s="1"/>
  <c r="C28" i="168"/>
  <c r="C8" i="168"/>
  <c r="F38" i="154"/>
  <c r="F7" i="168"/>
  <c r="F28" i="168" s="1"/>
  <c r="D7" i="168"/>
  <c r="F44" i="154" l="1"/>
  <c r="G28" i="168"/>
  <c r="F42" i="154"/>
  <c r="F35" i="155"/>
  <c r="F36" i="155"/>
  <c r="C30" i="168"/>
  <c r="D28" i="168"/>
  <c r="D8" i="168"/>
  <c r="F8" i="168"/>
  <c r="G31" i="168" l="1"/>
  <c r="G30" i="168"/>
  <c r="F31" i="168"/>
  <c r="F30" i="168"/>
  <c r="D30" i="168"/>
  <c r="E7" i="168"/>
  <c r="E8" i="168" l="1"/>
  <c r="E28" i="168"/>
  <c r="I28" i="168" l="1"/>
  <c r="R28" i="168"/>
  <c r="P28" i="168"/>
  <c r="S28" i="168"/>
  <c r="O28" i="168"/>
  <c r="Q28" i="168"/>
  <c r="J28" i="168"/>
  <c r="H28" i="168"/>
  <c r="M28" i="168"/>
  <c r="K28" i="168"/>
  <c r="L28" i="168"/>
  <c r="N28" i="168"/>
  <c r="E30" i="168"/>
  <c r="E26" i="155"/>
  <c r="D26" i="155"/>
  <c r="E41" i="154"/>
  <c r="E13" i="169" s="1"/>
  <c r="D41" i="154"/>
  <c r="D13" i="169" s="1"/>
  <c r="C41" i="154"/>
  <c r="C13" i="169" s="1"/>
  <c r="E40" i="154"/>
  <c r="E12" i="169" s="1"/>
  <c r="D40" i="154"/>
  <c r="D12" i="169" s="1"/>
  <c r="C40" i="154"/>
  <c r="C12" i="169" s="1"/>
  <c r="E38" i="154"/>
  <c r="D38" i="154"/>
  <c r="C38" i="154"/>
  <c r="E32" i="155"/>
  <c r="D32" i="155"/>
  <c r="C32" i="155"/>
  <c r="C17" i="185"/>
  <c r="E30" i="154"/>
  <c r="E7" i="155"/>
  <c r="E31" i="168" s="1"/>
  <c r="D7" i="155"/>
  <c r="D31" i="168" s="1"/>
  <c r="C7" i="155"/>
  <c r="C31" i="168" s="1"/>
  <c r="C11" i="155"/>
  <c r="E33" i="154" l="1"/>
  <c r="E44" i="154"/>
  <c r="R12" i="169"/>
  <c r="Q12" i="169"/>
  <c r="P12" i="169"/>
  <c r="O12" i="169"/>
  <c r="S12" i="169"/>
  <c r="C15" i="155"/>
  <c r="C19" i="155" s="1"/>
  <c r="C21" i="155" s="1"/>
  <c r="C23" i="155" s="1"/>
  <c r="R13" i="169"/>
  <c r="S13" i="169"/>
  <c r="Q13" i="169"/>
  <c r="P13" i="169"/>
  <c r="O13" i="169"/>
  <c r="I31" i="168"/>
  <c r="I8" i="168" s="1"/>
  <c r="N12" i="169"/>
  <c r="M12" i="169"/>
  <c r="L12" i="169"/>
  <c r="I12" i="169"/>
  <c r="K12" i="169"/>
  <c r="J12" i="169"/>
  <c r="J13" i="169"/>
  <c r="I13" i="169"/>
  <c r="N13" i="169"/>
  <c r="M13" i="169"/>
  <c r="K13" i="169"/>
  <c r="L13" i="169"/>
  <c r="H30" i="168"/>
  <c r="J31" i="168"/>
  <c r="H31" i="168"/>
  <c r="D39" i="154"/>
  <c r="D11" i="169" s="1"/>
  <c r="D14" i="169" s="1"/>
  <c r="D11" i="155"/>
  <c r="D15" i="155" s="1"/>
  <c r="D19" i="155"/>
  <c r="D21" i="155" s="1"/>
  <c r="D23" i="155" s="1"/>
  <c r="C39" i="154"/>
  <c r="E11" i="155"/>
  <c r="E15" i="155" s="1"/>
  <c r="E39" i="154"/>
  <c r="H8" i="168" l="1"/>
  <c r="H14" i="168" s="1"/>
  <c r="D42" i="154"/>
  <c r="C35" i="155"/>
  <c r="C36" i="155"/>
  <c r="E19" i="155"/>
  <c r="E21" i="155" s="1"/>
  <c r="E23" i="155" s="1"/>
  <c r="C11" i="169"/>
  <c r="C42" i="154"/>
  <c r="E11" i="169"/>
  <c r="E14" i="169" s="1"/>
  <c r="E42" i="154"/>
  <c r="D36" i="155"/>
  <c r="D35" i="155"/>
  <c r="O11" i="169" l="1"/>
  <c r="P11" i="169"/>
  <c r="S11" i="169"/>
  <c r="R11" i="169"/>
  <c r="Q11" i="169"/>
  <c r="C14" i="169"/>
  <c r="N11" i="169"/>
  <c r="M11" i="169"/>
  <c r="K11" i="169"/>
  <c r="J11" i="169"/>
  <c r="L11" i="169"/>
  <c r="I11" i="169"/>
  <c r="E35" i="155"/>
  <c r="E36" i="155"/>
  <c r="L14" i="169" l="1"/>
  <c r="J14" i="169"/>
  <c r="K14" i="169"/>
  <c r="M14" i="169"/>
  <c r="N14" i="169"/>
  <c r="Q14" i="169"/>
  <c r="R14" i="169"/>
  <c r="S14" i="169"/>
  <c r="P14" i="169"/>
  <c r="O14" i="169"/>
  <c r="H26" i="168"/>
  <c r="H9" i="168" s="1"/>
  <c r="I14" i="169"/>
  <c r="I9" i="168" l="1"/>
  <c r="I8" i="169"/>
  <c r="I15" i="168" l="1"/>
  <c r="I26" i="168" s="1"/>
  <c r="K10" i="180" l="1"/>
  <c r="L10" i="180" s="1"/>
  <c r="M10" i="180" s="1"/>
  <c r="N10" i="180" s="1"/>
  <c r="O10" i="180" s="1"/>
  <c r="K9" i="180"/>
  <c r="L9" i="180" s="1"/>
  <c r="M9" i="180" s="1"/>
  <c r="N9" i="180" s="1"/>
  <c r="O9" i="180" s="1"/>
  <c r="K7" i="180"/>
  <c r="J6" i="180"/>
  <c r="P10" i="180" l="1"/>
  <c r="O10" i="182"/>
  <c r="P9" i="180"/>
  <c r="O9" i="182"/>
  <c r="L8" i="182"/>
  <c r="K10" i="182"/>
  <c r="L7" i="180"/>
  <c r="M7" i="180" s="1"/>
  <c r="N7" i="180" s="1"/>
  <c r="O7" i="180" s="1"/>
  <c r="K7" i="182"/>
  <c r="K9" i="182"/>
  <c r="K6" i="180"/>
  <c r="K6" i="182" s="1"/>
  <c r="J6" i="182"/>
  <c r="J11" i="180"/>
  <c r="O9" i="186" l="1"/>
  <c r="O9" i="193" s="1"/>
  <c r="Q9" i="180"/>
  <c r="P9" i="182"/>
  <c r="O10" i="186"/>
  <c r="O10" i="193" s="1"/>
  <c r="P7" i="180"/>
  <c r="O7" i="182"/>
  <c r="Q10" i="180"/>
  <c r="P10" i="182"/>
  <c r="L8" i="186"/>
  <c r="L8" i="193" s="1"/>
  <c r="K7" i="186"/>
  <c r="K7" i="193" s="1"/>
  <c r="K9" i="186"/>
  <c r="K9" i="193" s="1"/>
  <c r="K10" i="186"/>
  <c r="K10" i="193" s="1"/>
  <c r="K11" i="180"/>
  <c r="L6" i="180"/>
  <c r="L11" i="180" s="1"/>
  <c r="L10" i="182"/>
  <c r="L9" i="182"/>
  <c r="L7" i="182"/>
  <c r="J6" i="186"/>
  <c r="J6" i="193" s="1"/>
  <c r="J11" i="182"/>
  <c r="K6" i="186"/>
  <c r="K6" i="193" s="1"/>
  <c r="K11" i="182"/>
  <c r="N8" i="182"/>
  <c r="M8" i="182"/>
  <c r="P9" i="186" l="1"/>
  <c r="P9" i="193" s="1"/>
  <c r="P10" i="186"/>
  <c r="P10" i="193" s="1"/>
  <c r="R9" i="180"/>
  <c r="Q9" i="182"/>
  <c r="L6" i="182"/>
  <c r="M6" i="180"/>
  <c r="R10" i="180"/>
  <c r="Q10" i="182"/>
  <c r="O7" i="186"/>
  <c r="O7" i="193" s="1"/>
  <c r="Q7" i="180"/>
  <c r="P7" i="182"/>
  <c r="N8" i="186"/>
  <c r="N8" i="193" s="1"/>
  <c r="L10" i="186"/>
  <c r="L10" i="193" s="1"/>
  <c r="K4" i="212"/>
  <c r="J4" i="212"/>
  <c r="M8" i="186"/>
  <c r="M8" i="193" s="1"/>
  <c r="L7" i="186"/>
  <c r="L7" i="193" s="1"/>
  <c r="L9" i="186"/>
  <c r="L9" i="193" s="1"/>
  <c r="K5" i="167"/>
  <c r="J5" i="167"/>
  <c r="K11" i="186"/>
  <c r="K5" i="212" s="1"/>
  <c r="K11" i="193"/>
  <c r="J11" i="186"/>
  <c r="J5" i="212" s="1"/>
  <c r="J11" i="193"/>
  <c r="N7" i="182"/>
  <c r="M7" i="182"/>
  <c r="N9" i="182"/>
  <c r="M9" i="182"/>
  <c r="N10" i="182"/>
  <c r="M10" i="182"/>
  <c r="M11" i="180"/>
  <c r="L6" i="186" l="1"/>
  <c r="L6" i="193" s="1"/>
  <c r="L11" i="193" s="1"/>
  <c r="L11" i="182"/>
  <c r="J6" i="212"/>
  <c r="K6" i="212"/>
  <c r="Q10" i="186"/>
  <c r="Q10" i="193" s="1"/>
  <c r="S10" i="180"/>
  <c r="S10" i="182" s="1"/>
  <c r="R10" i="182"/>
  <c r="Q9" i="186"/>
  <c r="Q9" i="193" s="1"/>
  <c r="S9" i="180"/>
  <c r="S9" i="182" s="1"/>
  <c r="R9" i="182"/>
  <c r="P7" i="186"/>
  <c r="P7" i="193" s="1"/>
  <c r="N6" i="180"/>
  <c r="O6" i="180" s="1"/>
  <c r="M6" i="182"/>
  <c r="R7" i="180"/>
  <c r="Q7" i="182"/>
  <c r="N10" i="186"/>
  <c r="N10" i="193" s="1"/>
  <c r="M10" i="186"/>
  <c r="M10" i="193" s="1"/>
  <c r="M9" i="186"/>
  <c r="M9" i="193" s="1"/>
  <c r="N9" i="186"/>
  <c r="N9" i="193" s="1"/>
  <c r="N7" i="186"/>
  <c r="N7" i="193" s="1"/>
  <c r="M7" i="186"/>
  <c r="M7" i="193" s="1"/>
  <c r="L11" i="186"/>
  <c r="L5" i="212" s="1"/>
  <c r="L5" i="167"/>
  <c r="J7" i="167"/>
  <c r="K7" i="167"/>
  <c r="N6" i="182"/>
  <c r="L4" i="212" l="1"/>
  <c r="M11" i="182"/>
  <c r="L6" i="212"/>
  <c r="P6" i="180"/>
  <c r="O6" i="182"/>
  <c r="O11" i="180"/>
  <c r="R10" i="186"/>
  <c r="R10" i="193" s="1"/>
  <c r="N11" i="180"/>
  <c r="S10" i="186"/>
  <c r="S10" i="193" s="1"/>
  <c r="Q7" i="186"/>
  <c r="Q7" i="193" s="1"/>
  <c r="R9" i="186"/>
  <c r="R9" i="193" s="1"/>
  <c r="S7" i="180"/>
  <c r="S7" i="182" s="1"/>
  <c r="R7" i="182"/>
  <c r="S9" i="186"/>
  <c r="S9" i="193" s="1"/>
  <c r="M6" i="186"/>
  <c r="M5" i="167"/>
  <c r="I29" i="168"/>
  <c r="L7" i="167"/>
  <c r="N6" i="186"/>
  <c r="N6" i="193" s="1"/>
  <c r="N11" i="182"/>
  <c r="N4" i="212" l="1"/>
  <c r="M4" i="212"/>
  <c r="M6" i="193"/>
  <c r="M11" i="193" s="1"/>
  <c r="M11" i="186"/>
  <c r="M5" i="212" s="1"/>
  <c r="S7" i="186"/>
  <c r="S7" i="193" s="1"/>
  <c r="Q6" i="180"/>
  <c r="P6" i="182"/>
  <c r="P11" i="180"/>
  <c r="R7" i="186"/>
  <c r="R7" i="193" s="1"/>
  <c r="O6" i="186"/>
  <c r="O11" i="182"/>
  <c r="K8" i="169"/>
  <c r="J8" i="169"/>
  <c r="N5" i="167"/>
  <c r="H10" i="168"/>
  <c r="I10" i="168"/>
  <c r="M7" i="167"/>
  <c r="N11" i="186"/>
  <c r="N5" i="212" s="1"/>
  <c r="N6" i="212" s="1"/>
  <c r="N11" i="193"/>
  <c r="L8" i="169" l="1"/>
  <c r="M6" i="212"/>
  <c r="P6" i="186"/>
  <c r="P11" i="182"/>
  <c r="R6" i="180"/>
  <c r="Q6" i="182"/>
  <c r="Q11" i="180"/>
  <c r="O6" i="193"/>
  <c r="O11" i="193" s="1"/>
  <c r="O11" i="186"/>
  <c r="O5" i="212" s="1"/>
  <c r="O4" i="212"/>
  <c r="O5" i="167"/>
  <c r="O7" i="167" s="1"/>
  <c r="H29" i="168"/>
  <c r="J7" i="168"/>
  <c r="J8" i="168" s="1"/>
  <c r="N7" i="167"/>
  <c r="M8" i="169" l="1"/>
  <c r="S6" i="180"/>
  <c r="R6" i="182"/>
  <c r="R11" i="180"/>
  <c r="P4" i="212"/>
  <c r="P5" i="167"/>
  <c r="P7" i="167" s="1"/>
  <c r="O6" i="212"/>
  <c r="P6" i="193"/>
  <c r="P11" i="193" s="1"/>
  <c r="P11" i="186"/>
  <c r="P5" i="212" s="1"/>
  <c r="Q6" i="186"/>
  <c r="Q11" i="182"/>
  <c r="J16" i="168"/>
  <c r="L16" i="168"/>
  <c r="M16" i="168"/>
  <c r="Q16" i="168"/>
  <c r="R16" i="168"/>
  <c r="S16" i="168"/>
  <c r="O16" i="168"/>
  <c r="K16" i="168"/>
  <c r="N16" i="168"/>
  <c r="P16" i="168"/>
  <c r="P6" i="212" l="1"/>
  <c r="O8" i="169"/>
  <c r="Q4" i="212"/>
  <c r="Q5" i="167"/>
  <c r="Q7" i="167" s="1"/>
  <c r="R6" i="186"/>
  <c r="R11" i="182"/>
  <c r="Q6" i="193"/>
  <c r="Q11" i="193" s="1"/>
  <c r="Q11" i="186"/>
  <c r="Q5" i="212" s="1"/>
  <c r="S6" i="182"/>
  <c r="S11" i="180"/>
  <c r="N8" i="169"/>
  <c r="J26" i="168"/>
  <c r="J9" i="168" s="1"/>
  <c r="Q6" i="212" l="1"/>
  <c r="R6" i="193"/>
  <c r="R11" i="193" s="1"/>
  <c r="R11" i="186"/>
  <c r="R5" i="212" s="1"/>
  <c r="R6" i="212" s="1"/>
  <c r="R4" i="212"/>
  <c r="R5" i="167"/>
  <c r="R7" i="167" s="1"/>
  <c r="S6" i="186"/>
  <c r="S11" i="182"/>
  <c r="P8" i="169"/>
  <c r="J10" i="168"/>
  <c r="J29" i="168"/>
  <c r="S4" i="212" l="1"/>
  <c r="S5" i="167"/>
  <c r="S7" i="167" s="1"/>
  <c r="S6" i="193"/>
  <c r="S11" i="193" s="1"/>
  <c r="S11" i="186"/>
  <c r="S5" i="212" s="1"/>
  <c r="Q8" i="169"/>
  <c r="K7" i="168"/>
  <c r="K8" i="168" s="1"/>
  <c r="S6" i="212" l="1"/>
  <c r="R8" i="169"/>
  <c r="K17" i="168"/>
  <c r="K26" i="168" s="1"/>
  <c r="N17" i="168"/>
  <c r="R17" i="168"/>
  <c r="O17" i="168"/>
  <c r="M17" i="168"/>
  <c r="P17" i="168"/>
  <c r="L17" i="168"/>
  <c r="S17" i="168"/>
  <c r="Q17" i="168"/>
  <c r="S8" i="169" l="1"/>
  <c r="K9" i="168"/>
  <c r="K29" i="168" l="1"/>
  <c r="K10" i="168"/>
  <c r="L7" i="168" l="1"/>
  <c r="L8" i="168" l="1"/>
  <c r="S18" i="168" l="1"/>
  <c r="R18" i="168"/>
  <c r="Q18" i="168"/>
  <c r="P18" i="168"/>
  <c r="O18" i="168"/>
  <c r="M18" i="168"/>
  <c r="L18" i="168"/>
  <c r="N18" i="168"/>
  <c r="L26" i="168" l="1"/>
  <c r="L9" i="168" s="1"/>
  <c r="L29" i="168" l="1"/>
  <c r="L10" i="168"/>
  <c r="M7" i="168" s="1"/>
  <c r="M8" i="168" l="1"/>
  <c r="M19" i="168" s="1"/>
  <c r="O19" i="168" l="1"/>
  <c r="P19" i="168"/>
  <c r="S19" i="168"/>
  <c r="R19" i="168"/>
  <c r="Q19" i="168"/>
  <c r="N19" i="168"/>
  <c r="M26" i="168" l="1"/>
  <c r="M9" i="168" s="1"/>
  <c r="M10" i="168" l="1"/>
  <c r="M29" i="168"/>
  <c r="N7" i="168" l="1"/>
  <c r="N8" i="168" s="1"/>
  <c r="Q20" i="168" l="1"/>
  <c r="P20" i="168"/>
  <c r="O20" i="168"/>
  <c r="S20" i="168"/>
  <c r="R20" i="168"/>
  <c r="N20" i="168"/>
  <c r="N26" i="168" l="1"/>
  <c r="N9" i="168" s="1"/>
  <c r="N29" i="168" l="1"/>
  <c r="N10" i="168"/>
  <c r="O7" i="168" s="1"/>
  <c r="O8" i="168" l="1"/>
  <c r="R21" i="168" l="1"/>
  <c r="P21" i="168"/>
  <c r="S21" i="168"/>
  <c r="Q21" i="168"/>
  <c r="O21" i="168"/>
  <c r="O26" i="168" s="1"/>
  <c r="O9" i="168" s="1"/>
  <c r="O10" i="168" l="1"/>
  <c r="P7" i="168" s="1"/>
  <c r="O29" i="168"/>
  <c r="P8" i="168" l="1"/>
  <c r="S22" i="168" l="1"/>
  <c r="R22" i="168"/>
  <c r="Q22" i="168"/>
  <c r="P22" i="168"/>
  <c r="P26" i="168" s="1"/>
  <c r="P9" i="168" s="1"/>
  <c r="P29" i="168" l="1"/>
  <c r="P10" i="168"/>
  <c r="Q7" i="168" l="1"/>
  <c r="Q8" i="168" l="1"/>
  <c r="Q23" i="168" l="1"/>
  <c r="Q26" i="168" s="1"/>
  <c r="Q9" i="168" s="1"/>
  <c r="Q10" i="168" s="1"/>
  <c r="S23" i="168"/>
  <c r="R23" i="168"/>
  <c r="R7" i="168" l="1"/>
  <c r="Q29" i="168"/>
  <c r="R8" i="168" l="1"/>
  <c r="S24" i="168" l="1"/>
  <c r="R24" i="168"/>
  <c r="R26" i="168" s="1"/>
  <c r="R9" i="168" s="1"/>
  <c r="R29" i="168" l="1"/>
  <c r="R10" i="168"/>
  <c r="S7" i="168" l="1"/>
  <c r="S8" i="168" l="1"/>
  <c r="S25" i="168" l="1"/>
  <c r="S26" i="168" s="1"/>
  <c r="S9" i="168" s="1"/>
  <c r="S10" i="168" s="1"/>
  <c r="S29" i="16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D7" authorId="0" shapeId="0" xr:uid="{3FEFE6AE-2518-448D-83C0-9F2F08283988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Reported on page 75. in annual report</t>
        </r>
      </text>
    </comment>
    <comment ref="D8" authorId="0" shapeId="0" xr:uid="{9D9CB96A-9C32-49DA-A7A8-53432C45D922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Reported on page 75. in annual report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E8" authorId="0" shapeId="0" xr:uid="{A1DC1B0D-E091-4BB4-A3AF-BEB481363B6A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https://www.sec.gov/Archives/edgar/data/1408356/000156459017003084/scty-10k_20161231.htm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J29" authorId="0" shapeId="0" xr:uid="{A21B4EE5-C622-42A3-A995-A98E8A4FB4C4}">
      <text>
        <r>
          <rPr>
            <b/>
            <sz val="9"/>
            <color indexed="81"/>
            <rFont val="Tahoma"/>
            <family val="2"/>
            <charset val="204"/>
          </rPr>
          <t>Ned:
Off industry average; use "as a % of PP&amp;E"</t>
        </r>
      </text>
    </comment>
  </commentList>
</comments>
</file>

<file path=xl/sharedStrings.xml><?xml version="1.0" encoding="utf-8"?>
<sst xmlns="http://schemas.openxmlformats.org/spreadsheetml/2006/main" count="883" uniqueCount="249">
  <si>
    <t>Total revenues</t>
  </si>
  <si>
    <t>Gross profit</t>
  </si>
  <si>
    <t>Services and other</t>
  </si>
  <si>
    <t>Energy generation and storage</t>
  </si>
  <si>
    <t>Research and development</t>
  </si>
  <si>
    <t>Interest expense</t>
  </si>
  <si>
    <t>Provision for income taxes</t>
  </si>
  <si>
    <t>Cash and cash equivalents</t>
  </si>
  <si>
    <t>Accounts receivable, net</t>
  </si>
  <si>
    <t>Inventory</t>
  </si>
  <si>
    <t>Prepaid expenses and other current assets</t>
  </si>
  <si>
    <t>Total current assets</t>
  </si>
  <si>
    <t>Operating lease vehicles, net</t>
  </si>
  <si>
    <t>Solar energy systems, leased and to be leased, net</t>
  </si>
  <si>
    <t>Property, plant and equipment, net</t>
  </si>
  <si>
    <t>Intangible assets, net</t>
  </si>
  <si>
    <t>portion</t>
  </si>
  <si>
    <t>Restricted cash, net of current portion</t>
  </si>
  <si>
    <t>Other assets</t>
  </si>
  <si>
    <t>Total assets</t>
  </si>
  <si>
    <t>Accounts payable</t>
  </si>
  <si>
    <t>Deferred revenue</t>
  </si>
  <si>
    <t>Resale value guarantees</t>
  </si>
  <si>
    <t>Customer deposits</t>
  </si>
  <si>
    <t>Current portion of long-term debt and capital leases</t>
  </si>
  <si>
    <t>Current portion of solar bonds issued to related</t>
  </si>
  <si>
    <t>parties</t>
  </si>
  <si>
    <t>Total current liabilities</t>
  </si>
  <si>
    <t>Long-term debt and capital leases, net of current</t>
  </si>
  <si>
    <t>Total liabilities</t>
  </si>
  <si>
    <t>Total stockholders' equity</t>
  </si>
  <si>
    <t>Noncontrolling interests in subsidiaries</t>
  </si>
  <si>
    <t>Total liabilities and equity</t>
  </si>
  <si>
    <t>Selling, general and administrative</t>
  </si>
  <si>
    <t>Interest income</t>
  </si>
  <si>
    <t>Other income (expense), net</t>
  </si>
  <si>
    <t>Net loss</t>
  </si>
  <si>
    <t>(in thousands)</t>
  </si>
  <si>
    <t>Accrued liabilities</t>
  </si>
  <si>
    <t>Restricted cash and marketable securities</t>
  </si>
  <si>
    <t>Energy generation and storage cost of revenues</t>
  </si>
  <si>
    <t>Services and other cost of revenues</t>
  </si>
  <si>
    <t>Automotive cost of revenues</t>
  </si>
  <si>
    <t>EBIT</t>
  </si>
  <si>
    <t>EBT</t>
  </si>
  <si>
    <t>2014
Act</t>
  </si>
  <si>
    <t>2015
Act</t>
  </si>
  <si>
    <t>2016
Act</t>
  </si>
  <si>
    <t>31 Dec
2014</t>
  </si>
  <si>
    <t>31 Dec
2015</t>
  </si>
  <si>
    <t>31 Dec
2016</t>
  </si>
  <si>
    <t>DSO</t>
  </si>
  <si>
    <t>DIO</t>
  </si>
  <si>
    <t>DPO</t>
  </si>
  <si>
    <t>Net Trading Cycle</t>
  </si>
  <si>
    <t>ROA</t>
  </si>
  <si>
    <t>ROE</t>
  </si>
  <si>
    <t>EBIT %</t>
  </si>
  <si>
    <t>Net loss incl. minority interests</t>
  </si>
  <si>
    <t>Minority interests</t>
  </si>
  <si>
    <t>GP% automotive</t>
  </si>
  <si>
    <t>GP% energy generation and automotive</t>
  </si>
  <si>
    <t>GP% services and other</t>
  </si>
  <si>
    <t>Overall GP%</t>
  </si>
  <si>
    <t>Net loss %</t>
  </si>
  <si>
    <t>n.a.</t>
  </si>
  <si>
    <t>Other liabilities</t>
  </si>
  <si>
    <t>Input --&gt;</t>
  </si>
  <si>
    <t>Output --&gt;</t>
  </si>
  <si>
    <t>Total</t>
  </si>
  <si>
    <t>Selected case:</t>
  </si>
  <si>
    <t>Best case</t>
  </si>
  <si>
    <t>Base case</t>
  </si>
  <si>
    <t>Worst case</t>
  </si>
  <si>
    <t>Drivers</t>
  </si>
  <si>
    <t>Selected case</t>
  </si>
  <si>
    <t xml:space="preserve"> </t>
  </si>
  <si>
    <t>Gross Profit</t>
  </si>
  <si>
    <t>Opex</t>
  </si>
  <si>
    <t>Opex as a % of revenues</t>
  </si>
  <si>
    <t>Automotive revenues</t>
  </si>
  <si>
    <t>Beginning PP&amp;E</t>
  </si>
  <si>
    <t>Capex</t>
  </si>
  <si>
    <t>D&amp;A</t>
  </si>
  <si>
    <t>Ending PP&amp;E</t>
  </si>
  <si>
    <t>Total D&amp;A</t>
  </si>
  <si>
    <t>Capex as a % of PP&amp;E</t>
  </si>
  <si>
    <t>D&amp;A as a % of PP&amp;E</t>
  </si>
  <si>
    <t>D&amp;A as a % of revenues</t>
  </si>
  <si>
    <t>Capex as a % of revenues</t>
  </si>
  <si>
    <t>Useful life historical assets</t>
  </si>
  <si>
    <t>Useful life Capex</t>
  </si>
  <si>
    <t>Working capital</t>
  </si>
  <si>
    <t>Trade receivables</t>
  </si>
  <si>
    <t>Trade payables</t>
  </si>
  <si>
    <t>Cost of sales</t>
  </si>
  <si>
    <t>Workings  --&gt;</t>
  </si>
  <si>
    <t>P&amp;L</t>
  </si>
  <si>
    <t>Taxes</t>
  </si>
  <si>
    <t>Net Income</t>
  </si>
  <si>
    <t>Revenues</t>
  </si>
  <si>
    <t>Operating expenses</t>
  </si>
  <si>
    <t>Interest expenses/income</t>
  </si>
  <si>
    <t>Corporate tax rate</t>
  </si>
  <si>
    <t>Check</t>
  </si>
  <si>
    <t>Expected inflation</t>
  </si>
  <si>
    <t>Fixed asset roll forward</t>
  </si>
  <si>
    <t>2017
Act</t>
  </si>
  <si>
    <t>P&amp;L Input</t>
  </si>
  <si>
    <t>31 Dec 
2017</t>
  </si>
  <si>
    <t>Balance Sheet Input</t>
  </si>
  <si>
    <t xml:space="preserve"> 30 Jun
2018</t>
  </si>
  <si>
    <t>Restructuring and other</t>
  </si>
  <si>
    <t>KPIs</t>
  </si>
  <si>
    <t>Vehicle</t>
  </si>
  <si>
    <t>2018 H1
Act</t>
  </si>
  <si>
    <t>Tesla Semi</t>
  </si>
  <si>
    <t>Tesla Model 3</t>
  </si>
  <si>
    <t>Tesla Model Y</t>
  </si>
  <si>
    <t>Tesla Pickup</t>
  </si>
  <si>
    <t>Tesla Roadster 2</t>
  </si>
  <si>
    <t>Average Price ($)</t>
  </si>
  <si>
    <t>Deliveries</t>
  </si>
  <si>
    <t>Tesla Model S and X</t>
  </si>
  <si>
    <t>Tesla Deliveries</t>
  </si>
  <si>
    <t>2018
Fcst</t>
  </si>
  <si>
    <t>2018 H2
Fcst</t>
  </si>
  <si>
    <t>2019
Fcst</t>
  </si>
  <si>
    <t>2020
Fcst</t>
  </si>
  <si>
    <t>2021
Fcst</t>
  </si>
  <si>
    <t>2022
Fcst</t>
  </si>
  <si>
    <t>2023
Fcst</t>
  </si>
  <si>
    <t>y-o-y growth %</t>
  </si>
  <si>
    <t>Currency</t>
  </si>
  <si>
    <t>USD</t>
  </si>
  <si>
    <t>Domestic country</t>
  </si>
  <si>
    <t>United States</t>
  </si>
  <si>
    <t>Market risk premium US</t>
  </si>
  <si>
    <t>Tesla</t>
  </si>
  <si>
    <t>Company analysis</t>
  </si>
  <si>
    <t>Comparable companies</t>
  </si>
  <si>
    <t>Average</t>
  </si>
  <si>
    <t>Comparables</t>
  </si>
  <si>
    <t>Historical</t>
  </si>
  <si>
    <t xml:space="preserve">  </t>
  </si>
  <si>
    <t>GP %
Comp. 1</t>
  </si>
  <si>
    <t>GP %
Comp. 2</t>
  </si>
  <si>
    <t>GP %
Comp. 3</t>
  </si>
  <si>
    <t>GP %</t>
  </si>
  <si>
    <t>GM, Ford, Fiat Chrysler</t>
  </si>
  <si>
    <t>BMW, Mercedes Cars, Volkswagen</t>
  </si>
  <si>
    <t>Jaguar, Porsche, Ferrari</t>
  </si>
  <si>
    <t>Scania, MAN, Paccar</t>
  </si>
  <si>
    <t>Automotive</t>
  </si>
  <si>
    <t>Tesla Gross Profit (in mln $)</t>
  </si>
  <si>
    <t>Revenue Automotive</t>
  </si>
  <si>
    <t>Total Energy and Other</t>
  </si>
  <si>
    <t>Y-o-Y %</t>
  </si>
  <si>
    <t>Gross Profit Energy &amp; Other</t>
  </si>
  <si>
    <t>Tesla Revenue Automotive (in mln $)</t>
  </si>
  <si>
    <t>GP%</t>
  </si>
  <si>
    <t>Tesla GP% Energy and Other (in mln $)</t>
  </si>
  <si>
    <t>SolarCity</t>
  </si>
  <si>
    <t>Total Energy and Other + SolarCity</t>
  </si>
  <si>
    <t>Cost of sales automotive</t>
  </si>
  <si>
    <t>Opex %</t>
  </si>
  <si>
    <t>GM</t>
  </si>
  <si>
    <t>Ford</t>
  </si>
  <si>
    <t>Fiat Chrysler</t>
  </si>
  <si>
    <t>BMW</t>
  </si>
  <si>
    <t>Volkswagen</t>
  </si>
  <si>
    <t>Jaguar</t>
  </si>
  <si>
    <t>Porsche</t>
  </si>
  <si>
    <t>Ferrari</t>
  </si>
  <si>
    <t>Scania</t>
  </si>
  <si>
    <t>MAN</t>
  </si>
  <si>
    <t>Paccar</t>
  </si>
  <si>
    <t>Adj. Average</t>
  </si>
  <si>
    <t>Opex as a % of revenue</t>
  </si>
  <si>
    <t>Tesla Opex (in mln $)</t>
  </si>
  <si>
    <t>Tesla PP&amp;E (in mln $)</t>
  </si>
  <si>
    <t>31Dec2014
Act</t>
  </si>
  <si>
    <t>31Dec2015
Act</t>
  </si>
  <si>
    <t>31Dec2016
Act</t>
  </si>
  <si>
    <t>30Jun2018
Act</t>
  </si>
  <si>
    <t>Tesla D&amp;A (in mln $)</t>
  </si>
  <si>
    <t>31Dec2017
Act</t>
  </si>
  <si>
    <t>Energy &amp; Other</t>
  </si>
  <si>
    <t>Property, Plant &amp; Equipment</t>
  </si>
  <si>
    <t>Opex comparables</t>
  </si>
  <si>
    <t>PP&amp;E comparables</t>
  </si>
  <si>
    <t>Net trade cycle</t>
  </si>
  <si>
    <t>Tesla Working capital (in mln $)</t>
  </si>
  <si>
    <t>Cost of sales Energy &amp; Other</t>
  </si>
  <si>
    <t>Revenue Energy &amp; Other</t>
  </si>
  <si>
    <t>Income Statement items</t>
  </si>
  <si>
    <t>Tesla P&amp;L (in mln $)</t>
  </si>
  <si>
    <t>($ in million)</t>
  </si>
  <si>
    <t>Balance Sheet --&gt;</t>
  </si>
  <si>
    <t>Net income</t>
  </si>
  <si>
    <t>Minority interest</t>
  </si>
  <si>
    <t>Assumed growth after introduction:</t>
  </si>
  <si>
    <t>2 years</t>
  </si>
  <si>
    <t>onwards</t>
  </si>
  <si>
    <t>2024
Fcst</t>
  </si>
  <si>
    <t>2025
Fcst</t>
  </si>
  <si>
    <t>2026
Fcst</t>
  </si>
  <si>
    <t>2027
Fcst</t>
  </si>
  <si>
    <t>2028
Fcst</t>
  </si>
  <si>
    <t>Deliveries comparables</t>
  </si>
  <si>
    <t>Comparables - 2017</t>
  </si>
  <si>
    <t>2024Fcst</t>
  </si>
  <si>
    <t>2025Fcst</t>
  </si>
  <si>
    <t>2026Fcst</t>
  </si>
  <si>
    <t>2027Fcst</t>
  </si>
  <si>
    <t>2028Fcst</t>
  </si>
  <si>
    <t>31Dec2018
Fcst</t>
  </si>
  <si>
    <t>31Dec2019
Fcst</t>
  </si>
  <si>
    <t>31Dec2020
Fcst</t>
  </si>
  <si>
    <t>31Dec2021
Fcst</t>
  </si>
  <si>
    <t>31Dec2022
Fcst</t>
  </si>
  <si>
    <t>31Dec2023
Fcst</t>
  </si>
  <si>
    <t>31Dec2024
Fcst</t>
  </si>
  <si>
    <t>31Dec2025
Fcst</t>
  </si>
  <si>
    <t>31Dec2026
Fcst</t>
  </si>
  <si>
    <t>31Dec2027
Fcst</t>
  </si>
  <si>
    <t>31Dec2028
Fcst</t>
  </si>
  <si>
    <t>Revenue and Gross Profit automotive</t>
  </si>
  <si>
    <t>Revenue automotive</t>
  </si>
  <si>
    <t>Gross Profit automotive</t>
  </si>
  <si>
    <t>Working Capital comparables</t>
  </si>
  <si>
    <t>Tesla Revenue Energy &amp; Other (in mln $)</t>
  </si>
  <si>
    <t>Tesla Cost of sales Energy &amp; Other (in mln $)</t>
  </si>
  <si>
    <t>Revenue % automotive y-o-y</t>
  </si>
  <si>
    <t>Revenue % generation y-o-y</t>
  </si>
  <si>
    <t>Revenue % services y-o-y</t>
  </si>
  <si>
    <t>Liquidity ratios</t>
  </si>
  <si>
    <t>Debt ratio</t>
  </si>
  <si>
    <t>Quick ratio</t>
  </si>
  <si>
    <t>Current ratio</t>
  </si>
  <si>
    <t>Solvency ratios</t>
  </si>
  <si>
    <t>Interest coverage</t>
  </si>
  <si>
    <t>&lt;0</t>
  </si>
  <si>
    <t>Company</t>
  </si>
  <si>
    <t>10-year treasury yield (Sep 27 2018)</t>
  </si>
  <si>
    <t>Company beta (Sep 27 2018)</t>
  </si>
  <si>
    <t>Tesla share price (Sep 27 2018)</t>
  </si>
  <si>
    <t>Bond Yield (Sep 19 2018)</t>
  </si>
  <si>
    <t>Tesla Cost of sales (in mln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</si>
</sst>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0.0%"/>
    <numFmt numFmtId="168" formatCode="#,##0.0_);\(#,##0.0\)"/>
    <numFmt numFmtId="169" formatCode="_(* #,##0.000_);_(* \(#,##0.000\);_(* &quot;-&quot;??_);_(@_)"/>
    <numFmt numFmtId="170" formatCode="_(* #,##0.0_);_(* \(#,##0.0\);_(* &quot;-&quot;?_);@_)"/>
    <numFmt numFmtId="171" formatCode="_(* #,##0_);_(* \(#,##0\);_(* &quot;-&quot;?_);@_)"/>
    <numFmt numFmtId="172" formatCode="#,##0_);\(#,##0\)"/>
  </numFmts>
  <fonts count="28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40"/>
      <color rgb="FF002060"/>
      <name val="Arial"/>
      <family val="2"/>
      <charset val="204"/>
    </font>
    <font>
      <b/>
      <sz val="9"/>
      <color theme="0"/>
      <name val="Arial"/>
      <family val="2"/>
      <charset val="204"/>
    </font>
    <font>
      <sz val="9"/>
      <color rgb="FF0070C0"/>
      <name val="Arial"/>
      <family val="2"/>
      <charset val="204"/>
    </font>
    <font>
      <sz val="9"/>
      <color theme="1"/>
      <name val="Arial"/>
      <family val="2"/>
      <charset val="204"/>
    </font>
    <font>
      <u/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theme="1"/>
      <name val="Arial"/>
      <family val="2"/>
    </font>
    <font>
      <b/>
      <i/>
      <sz val="8"/>
      <name val="Arial"/>
      <family val="2"/>
      <charset val="204"/>
    </font>
    <font>
      <sz val="10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8"/>
      <name val="Arial"/>
      <family val="2"/>
      <charset val="204"/>
    </font>
    <font>
      <b/>
      <sz val="10"/>
      <color theme="0"/>
      <name val="Arial"/>
      <family val="2"/>
      <charset val="204"/>
    </font>
    <font>
      <b/>
      <i/>
      <sz val="9"/>
      <name val="Arial"/>
      <family val="2"/>
      <charset val="204"/>
    </font>
    <font>
      <i/>
      <sz val="8"/>
      <name val="Arial"/>
      <family val="2"/>
      <charset val="204"/>
    </font>
    <font>
      <b/>
      <i/>
      <sz val="9"/>
      <color rgb="FF00206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2060"/>
      </top>
      <bottom style="medium">
        <color rgb="FF002060"/>
      </bottom>
      <diagonal/>
    </border>
  </borders>
  <cellStyleXfs count="3">
    <xf numFmtId="0" fontId="0" fillId="0" borderId="0">
      <alignment vertical="top"/>
    </xf>
    <xf numFmtId="164" fontId="1" fillId="0" borderId="0">
      <alignment vertical="top"/>
    </xf>
    <xf numFmtId="9" fontId="1" fillId="0" borderId="0">
      <alignment vertical="top"/>
    </xf>
  </cellStyleXfs>
  <cellXfs count="137">
    <xf numFmtId="0" fontId="0" fillId="0" borderId="0" xfId="0">
      <alignment vertical="top"/>
    </xf>
    <xf numFmtId="0" fontId="0" fillId="2" borderId="0" xfId="0" applyFill="1">
      <alignment vertical="top"/>
    </xf>
    <xf numFmtId="0" fontId="5" fillId="2" borderId="0" xfId="0" applyFont="1" applyFill="1">
      <alignment vertical="top"/>
    </xf>
    <xf numFmtId="0" fontId="2" fillId="2" borderId="0" xfId="0" applyFont="1" applyFill="1">
      <alignment vertical="top"/>
    </xf>
    <xf numFmtId="166" fontId="1" fillId="2" borderId="0" xfId="1" applyNumberFormat="1" applyFill="1">
      <alignment vertical="top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right" vertical="top" wrapText="1"/>
    </xf>
    <xf numFmtId="0" fontId="4" fillId="2" borderId="0" xfId="0" applyFont="1" applyFill="1" applyBorder="1">
      <alignment vertical="top"/>
    </xf>
    <xf numFmtId="0" fontId="4" fillId="2" borderId="0" xfId="0" applyFont="1" applyFill="1">
      <alignment vertical="top"/>
    </xf>
    <xf numFmtId="0" fontId="3" fillId="2" borderId="1" xfId="0" applyFont="1" applyFill="1" applyBorder="1">
      <alignment vertical="top"/>
    </xf>
    <xf numFmtId="0" fontId="3" fillId="2" borderId="2" xfId="0" applyFont="1" applyFill="1" applyBorder="1">
      <alignment vertical="top"/>
    </xf>
    <xf numFmtId="0" fontId="6" fillId="2" borderId="0" xfId="0" applyFont="1" applyFill="1">
      <alignment vertical="top"/>
    </xf>
    <xf numFmtId="0" fontId="7" fillId="5" borderId="0" xfId="0" applyFont="1" applyFill="1">
      <alignment vertical="top"/>
    </xf>
    <xf numFmtId="166" fontId="4" fillId="2" borderId="0" xfId="1" applyNumberFormat="1" applyFont="1" applyFill="1">
      <alignment vertical="top"/>
    </xf>
    <xf numFmtId="9" fontId="4" fillId="4" borderId="0" xfId="2" applyFont="1" applyFill="1">
      <alignment vertical="top"/>
    </xf>
    <xf numFmtId="165" fontId="4" fillId="2" borderId="0" xfId="1" applyNumberFormat="1" applyFont="1" applyFill="1">
      <alignment vertical="top"/>
    </xf>
    <xf numFmtId="167" fontId="4" fillId="2" borderId="0" xfId="2" applyNumberFormat="1" applyFont="1" applyFill="1">
      <alignment vertical="top"/>
    </xf>
    <xf numFmtId="0" fontId="5" fillId="2" borderId="0" xfId="0" applyFont="1" applyFill="1" applyAlignment="1"/>
    <xf numFmtId="0" fontId="0" fillId="2" borderId="0" xfId="0" applyFill="1" applyAlignment="1"/>
    <xf numFmtId="0" fontId="9" fillId="2" borderId="0" xfId="0" applyFont="1" applyFill="1" applyAlignment="1"/>
    <xf numFmtId="0" fontId="10" fillId="2" borderId="0" xfId="0" applyFont="1" applyFill="1" applyAlignment="1"/>
    <xf numFmtId="0" fontId="11" fillId="2" borderId="0" xfId="0" applyFont="1" applyFill="1" applyAlignment="1"/>
    <xf numFmtId="0" fontId="4" fillId="2" borderId="0" xfId="0" applyFont="1" applyFill="1" applyAlignment="1"/>
    <xf numFmtId="0" fontId="9" fillId="2" borderId="0" xfId="0" applyFont="1" applyFill="1" applyBorder="1" applyAlignment="1"/>
    <xf numFmtId="0" fontId="0" fillId="2" borderId="0" xfId="0" applyFill="1" applyBorder="1" applyAlignment="1"/>
    <xf numFmtId="10" fontId="9" fillId="2" borderId="0" xfId="0" applyNumberFormat="1" applyFont="1" applyFill="1" applyAlignment="1"/>
    <xf numFmtId="0" fontId="12" fillId="2" borderId="1" xfId="0" applyFont="1" applyFill="1" applyBorder="1" applyAlignment="1"/>
    <xf numFmtId="169" fontId="0" fillId="2" borderId="0" xfId="0" applyNumberFormat="1" applyFill="1" applyAlignment="1"/>
    <xf numFmtId="9" fontId="4" fillId="2" borderId="0" xfId="0" applyNumberFormat="1" applyFont="1" applyFill="1">
      <alignment vertical="top"/>
    </xf>
    <xf numFmtId="0" fontId="13" fillId="2" borderId="0" xfId="0" applyFont="1" applyFill="1">
      <alignment vertical="top"/>
    </xf>
    <xf numFmtId="0" fontId="3" fillId="2" borderId="3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right" wrapText="1"/>
    </xf>
    <xf numFmtId="166" fontId="4" fillId="2" borderId="0" xfId="0" applyNumberFormat="1" applyFont="1" applyFill="1">
      <alignment vertical="top"/>
    </xf>
    <xf numFmtId="0" fontId="3" fillId="2" borderId="0" xfId="0" applyFont="1" applyFill="1" applyBorder="1">
      <alignment vertical="top"/>
    </xf>
    <xf numFmtId="0" fontId="3" fillId="7" borderId="3" xfId="0" applyFont="1" applyFill="1" applyBorder="1" applyAlignment="1">
      <alignment horizontal="right" wrapText="1"/>
    </xf>
    <xf numFmtId="0" fontId="15" fillId="3" borderId="0" xfId="0" applyFont="1" applyFill="1" applyAlignment="1"/>
    <xf numFmtId="2" fontId="15" fillId="3" borderId="0" xfId="0" applyNumberFormat="1" applyFont="1" applyFill="1" applyAlignment="1"/>
    <xf numFmtId="0" fontId="16" fillId="3" borderId="0" xfId="0" applyFont="1" applyFill="1" applyAlignment="1"/>
    <xf numFmtId="0" fontId="14" fillId="3" borderId="0" xfId="0" applyFont="1" applyFill="1" applyAlignment="1"/>
    <xf numFmtId="0" fontId="17" fillId="3" borderId="0" xfId="0" applyFont="1" applyFill="1" applyAlignment="1"/>
    <xf numFmtId="171" fontId="4" fillId="2" borderId="0" xfId="0" applyNumberFormat="1" applyFont="1" applyFill="1" applyBorder="1" applyAlignment="1">
      <alignment horizontal="right" vertical="top"/>
    </xf>
    <xf numFmtId="171" fontId="4" fillId="7" borderId="0" xfId="0" applyNumberFormat="1" applyFont="1" applyFill="1" applyBorder="1" applyAlignment="1">
      <alignment horizontal="right" vertical="top"/>
    </xf>
    <xf numFmtId="171" fontId="4" fillId="2" borderId="0" xfId="0" applyNumberFormat="1" applyFont="1" applyFill="1" applyAlignment="1">
      <alignment horizontal="right" vertical="top"/>
    </xf>
    <xf numFmtId="171" fontId="4" fillId="7" borderId="0" xfId="0" applyNumberFormat="1" applyFont="1" applyFill="1" applyAlignment="1">
      <alignment horizontal="right" vertical="top"/>
    </xf>
    <xf numFmtId="171" fontId="3" fillId="2" borderId="1" xfId="0" applyNumberFormat="1" applyFont="1" applyFill="1" applyBorder="1" applyAlignment="1">
      <alignment horizontal="right" vertical="top"/>
    </xf>
    <xf numFmtId="171" fontId="3" fillId="7" borderId="1" xfId="0" applyNumberFormat="1" applyFont="1" applyFill="1" applyBorder="1" applyAlignment="1">
      <alignment horizontal="right" vertical="top"/>
    </xf>
    <xf numFmtId="171" fontId="3" fillId="2" borderId="2" xfId="0" applyNumberFormat="1" applyFont="1" applyFill="1" applyBorder="1" applyAlignment="1">
      <alignment horizontal="right" vertical="top"/>
    </xf>
    <xf numFmtId="171" fontId="3" fillId="7" borderId="2" xfId="0" applyNumberFormat="1" applyFont="1" applyFill="1" applyBorder="1" applyAlignment="1">
      <alignment horizontal="right" vertical="top"/>
    </xf>
    <xf numFmtId="9" fontId="13" fillId="3" borderId="0" xfId="2" applyFont="1" applyFill="1">
      <alignment vertical="top"/>
    </xf>
    <xf numFmtId="171" fontId="4" fillId="2" borderId="0" xfId="1" applyNumberFormat="1" applyFont="1" applyFill="1" applyAlignment="1">
      <alignment horizontal="right" vertical="top"/>
    </xf>
    <xf numFmtId="171" fontId="4" fillId="7" borderId="0" xfId="1" applyNumberFormat="1" applyFont="1" applyFill="1" applyAlignment="1">
      <alignment horizontal="right" vertical="top"/>
    </xf>
    <xf numFmtId="171" fontId="3" fillId="2" borderId="1" xfId="1" applyNumberFormat="1" applyFont="1" applyFill="1" applyBorder="1" applyAlignment="1">
      <alignment horizontal="right" vertical="top"/>
    </xf>
    <xf numFmtId="171" fontId="3" fillId="7" borderId="1" xfId="1" applyNumberFormat="1" applyFont="1" applyFill="1" applyBorder="1" applyAlignment="1">
      <alignment horizontal="right" vertical="top"/>
    </xf>
    <xf numFmtId="171" fontId="3" fillId="2" borderId="2" xfId="1" applyNumberFormat="1" applyFont="1" applyFill="1" applyBorder="1" applyAlignment="1">
      <alignment horizontal="right" vertical="top"/>
    </xf>
    <xf numFmtId="171" fontId="3" fillId="7" borderId="2" xfId="1" applyNumberFormat="1" applyFont="1" applyFill="1" applyBorder="1" applyAlignment="1">
      <alignment horizontal="right" vertical="top"/>
    </xf>
    <xf numFmtId="171" fontId="3" fillId="2" borderId="0" xfId="1" applyNumberFormat="1" applyFont="1" applyFill="1" applyAlignment="1">
      <alignment horizontal="right" vertical="top"/>
    </xf>
    <xf numFmtId="171" fontId="3" fillId="7" borderId="0" xfId="1" applyNumberFormat="1" applyFont="1" applyFill="1" applyAlignment="1">
      <alignment horizontal="right" vertical="top"/>
    </xf>
    <xf numFmtId="171" fontId="4" fillId="2" borderId="0" xfId="1" applyNumberFormat="1" applyFont="1" applyFill="1">
      <alignment vertical="top"/>
    </xf>
    <xf numFmtId="171" fontId="4" fillId="2" borderId="0" xfId="0" applyNumberFormat="1" applyFont="1" applyFill="1">
      <alignment vertical="top"/>
    </xf>
    <xf numFmtId="171" fontId="4" fillId="7" borderId="0" xfId="0" applyNumberFormat="1" applyFont="1" applyFill="1">
      <alignment vertical="top"/>
    </xf>
    <xf numFmtId="0" fontId="18" fillId="3" borderId="0" xfId="0" applyFont="1" applyFill="1">
      <alignment vertical="top"/>
    </xf>
    <xf numFmtId="0" fontId="13" fillId="3" borderId="0" xfId="0" applyFont="1" applyFill="1">
      <alignment vertical="top"/>
    </xf>
    <xf numFmtId="9" fontId="13" fillId="3" borderId="0" xfId="0" applyNumberFormat="1" applyFont="1" applyFill="1">
      <alignment vertical="top"/>
    </xf>
    <xf numFmtId="9" fontId="13" fillId="3" borderId="0" xfId="2" applyFont="1" applyFill="1" applyAlignment="1">
      <alignment horizontal="right" vertical="top"/>
    </xf>
    <xf numFmtId="0" fontId="13" fillId="3" borderId="0" xfId="0" applyFont="1" applyFill="1" applyAlignment="1">
      <alignment horizontal="right" vertical="top"/>
    </xf>
    <xf numFmtId="171" fontId="3" fillId="2" borderId="2" xfId="1" applyNumberFormat="1" applyFont="1" applyFill="1" applyBorder="1">
      <alignment vertical="top"/>
    </xf>
    <xf numFmtId="9" fontId="13" fillId="3" borderId="0" xfId="0" applyNumberFormat="1" applyFont="1" applyFill="1" applyAlignment="1">
      <alignment horizontal="right" vertical="top"/>
    </xf>
    <xf numFmtId="0" fontId="3" fillId="7" borderId="3" xfId="0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right" vertical="top"/>
    </xf>
    <xf numFmtId="10" fontId="4" fillId="2" borderId="0" xfId="0" applyNumberFormat="1" applyFont="1" applyFill="1">
      <alignment vertical="top"/>
    </xf>
    <xf numFmtId="0" fontId="19" fillId="2" borderId="0" xfId="0" applyFont="1" applyFill="1">
      <alignment vertical="top"/>
    </xf>
    <xf numFmtId="0" fontId="20" fillId="2" borderId="0" xfId="0" applyFont="1" applyFill="1">
      <alignment vertical="top"/>
    </xf>
    <xf numFmtId="9" fontId="4" fillId="2" borderId="0" xfId="0" applyNumberFormat="1" applyFont="1" applyFill="1" applyAlignment="1">
      <alignment horizontal="left" vertical="top"/>
    </xf>
    <xf numFmtId="167" fontId="4" fillId="2" borderId="0" xfId="0" applyNumberFormat="1" applyFont="1" applyFill="1">
      <alignment vertical="top"/>
    </xf>
    <xf numFmtId="167" fontId="4" fillId="2" borderId="0" xfId="0" applyNumberFormat="1" applyFont="1" applyFill="1" applyAlignment="1">
      <alignment horizontal="right" vertical="top"/>
    </xf>
    <xf numFmtId="171" fontId="3" fillId="2" borderId="1" xfId="0" applyNumberFormat="1" applyFont="1" applyFill="1" applyBorder="1">
      <alignment vertical="top"/>
    </xf>
    <xf numFmtId="171" fontId="3" fillId="7" borderId="1" xfId="0" applyNumberFormat="1" applyFont="1" applyFill="1" applyBorder="1">
      <alignment vertical="top"/>
    </xf>
    <xf numFmtId="0" fontId="23" fillId="3" borderId="0" xfId="0" applyFont="1" applyFill="1">
      <alignment vertical="top"/>
    </xf>
    <xf numFmtId="1" fontId="4" fillId="2" borderId="0" xfId="0" applyNumberFormat="1" applyFont="1" applyFill="1">
      <alignment vertical="top"/>
    </xf>
    <xf numFmtId="9" fontId="4" fillId="3" borderId="0" xfId="2" applyFont="1" applyFill="1">
      <alignment vertical="top"/>
    </xf>
    <xf numFmtId="9" fontId="4" fillId="0" borderId="0" xfId="2" applyFont="1">
      <alignment vertical="top"/>
    </xf>
    <xf numFmtId="167" fontId="4" fillId="7" borderId="0" xfId="2" applyNumberFormat="1" applyFont="1" applyFill="1">
      <alignment vertical="top"/>
    </xf>
    <xf numFmtId="9" fontId="4" fillId="2" borderId="0" xfId="0" applyNumberFormat="1" applyFont="1" applyFill="1" applyAlignment="1">
      <alignment horizontal="right" vertical="top"/>
    </xf>
    <xf numFmtId="9" fontId="4" fillId="3" borderId="0" xfId="0" applyNumberFormat="1" applyFont="1" applyFill="1" applyAlignment="1">
      <alignment horizontal="right" vertical="top"/>
    </xf>
    <xf numFmtId="9" fontId="3" fillId="2" borderId="1" xfId="0" applyNumberFormat="1" applyFont="1" applyFill="1" applyBorder="1">
      <alignment vertical="top"/>
    </xf>
    <xf numFmtId="0" fontId="3" fillId="2" borderId="4" xfId="0" applyFont="1" applyFill="1" applyBorder="1" applyAlignment="1"/>
    <xf numFmtId="0" fontId="13" fillId="3" borderId="0" xfId="0" applyFont="1" applyFill="1" applyAlignment="1"/>
    <xf numFmtId="167" fontId="13" fillId="3" borderId="0" xfId="2" applyNumberFormat="1" applyFont="1" applyFill="1">
      <alignment vertical="top"/>
    </xf>
    <xf numFmtId="167" fontId="13" fillId="3" borderId="0" xfId="0" applyNumberFormat="1" applyFont="1" applyFill="1" applyAlignment="1"/>
    <xf numFmtId="0" fontId="24" fillId="5" borderId="0" xfId="0" applyFont="1" applyFill="1" applyAlignment="1"/>
    <xf numFmtId="0" fontId="25" fillId="2" borderId="0" xfId="0" applyFont="1" applyFill="1" applyAlignment="1"/>
    <xf numFmtId="0" fontId="24" fillId="2" borderId="0" xfId="0" applyFont="1" applyFill="1" applyAlignment="1"/>
    <xf numFmtId="166" fontId="8" fillId="2" borderId="0" xfId="1" applyNumberFormat="1" applyFont="1" applyFill="1" applyAlignment="1"/>
    <xf numFmtId="166" fontId="9" fillId="2" borderId="0" xfId="1" applyNumberFormat="1" applyFont="1" applyFill="1" applyAlignment="1"/>
    <xf numFmtId="166" fontId="4" fillId="7" borderId="0" xfId="0" applyNumberFormat="1" applyFont="1" applyFill="1" applyAlignment="1">
      <alignment horizontal="right" vertical="top"/>
    </xf>
    <xf numFmtId="166" fontId="8" fillId="2" borderId="0" xfId="0" applyNumberFormat="1" applyFont="1" applyFill="1" applyAlignment="1"/>
    <xf numFmtId="166" fontId="3" fillId="2" borderId="4" xfId="0" applyNumberFormat="1" applyFont="1" applyFill="1" applyBorder="1" applyAlignment="1"/>
    <xf numFmtId="9" fontId="3" fillId="2" borderId="1" xfId="0" applyNumberFormat="1" applyFont="1" applyFill="1" applyBorder="1" applyAlignment="1">
      <alignment horizontal="right" vertical="top"/>
    </xf>
    <xf numFmtId="0" fontId="4" fillId="3" borderId="0" xfId="0" applyFont="1" applyFill="1">
      <alignment vertical="top"/>
    </xf>
    <xf numFmtId="165" fontId="13" fillId="3" borderId="0" xfId="1" applyNumberFormat="1" applyFont="1" applyFill="1">
      <alignment vertical="top"/>
    </xf>
    <xf numFmtId="168" fontId="4" fillId="7" borderId="0" xfId="1" applyNumberFormat="1" applyFont="1" applyFill="1">
      <alignment vertical="top"/>
    </xf>
    <xf numFmtId="172" fontId="4" fillId="2" borderId="0" xfId="0" applyNumberFormat="1" applyFont="1" applyFill="1">
      <alignment vertical="top"/>
    </xf>
    <xf numFmtId="172" fontId="4" fillId="7" borderId="0" xfId="1" applyNumberFormat="1" applyFont="1" applyFill="1">
      <alignment vertical="top"/>
    </xf>
    <xf numFmtId="165" fontId="4" fillId="0" borderId="0" xfId="1" applyNumberFormat="1" applyFont="1">
      <alignment vertical="top"/>
    </xf>
    <xf numFmtId="164" fontId="4" fillId="7" borderId="0" xfId="1" applyFont="1" applyFill="1">
      <alignment vertical="top"/>
    </xf>
    <xf numFmtId="164" fontId="3" fillId="7" borderId="1" xfId="1" applyFont="1" applyFill="1" applyBorder="1">
      <alignment vertical="top"/>
    </xf>
    <xf numFmtId="165" fontId="4" fillId="3" borderId="0" xfId="1" applyNumberFormat="1" applyFont="1" applyFill="1">
      <alignment vertical="top"/>
    </xf>
    <xf numFmtId="165" fontId="4" fillId="2" borderId="0" xfId="0" applyNumberFormat="1" applyFont="1" applyFill="1" applyAlignment="1">
      <alignment horizontal="right" vertical="top"/>
    </xf>
    <xf numFmtId="164" fontId="4" fillId="7" borderId="0" xfId="0" applyNumberFormat="1" applyFont="1" applyFill="1">
      <alignment vertical="top"/>
    </xf>
    <xf numFmtId="0" fontId="4" fillId="3" borderId="0" xfId="0" applyFont="1" applyFill="1" applyAlignment="1"/>
    <xf numFmtId="165" fontId="3" fillId="2" borderId="1" xfId="1" applyNumberFormat="1" applyFont="1" applyFill="1" applyBorder="1">
      <alignment vertical="top"/>
    </xf>
    <xf numFmtId="166" fontId="9" fillId="2" borderId="0" xfId="1" applyNumberFormat="1" applyFont="1" applyFill="1" applyBorder="1" applyAlignment="1"/>
    <xf numFmtId="166" fontId="4" fillId="7" borderId="0" xfId="1" applyNumberFormat="1" applyFont="1" applyFill="1">
      <alignment vertical="top"/>
    </xf>
    <xf numFmtId="166" fontId="12" fillId="2" borderId="1" xfId="1" applyNumberFormat="1" applyFont="1" applyFill="1" applyBorder="1" applyAlignment="1"/>
    <xf numFmtId="166" fontId="3" fillId="7" borderId="1" xfId="1" applyNumberFormat="1" applyFont="1" applyFill="1" applyBorder="1">
      <alignment vertical="top"/>
    </xf>
    <xf numFmtId="166" fontId="12" fillId="2" borderId="1" xfId="0" applyNumberFormat="1" applyFont="1" applyFill="1" applyBorder="1" applyAlignment="1"/>
    <xf numFmtId="166" fontId="9" fillId="7" borderId="0" xfId="1" applyNumberFormat="1" applyFont="1" applyFill="1" applyBorder="1" applyAlignment="1"/>
    <xf numFmtId="171" fontId="4" fillId="2" borderId="0" xfId="0" applyNumberFormat="1" applyFont="1" applyFill="1" applyBorder="1" applyAlignment="1">
      <alignment horizontal="right" vertical="center"/>
    </xf>
    <xf numFmtId="0" fontId="13" fillId="6" borderId="0" xfId="0" applyFont="1" applyFill="1" applyAlignment="1"/>
    <xf numFmtId="0" fontId="23" fillId="6" borderId="0" xfId="0" applyFont="1" applyFill="1" applyAlignment="1"/>
    <xf numFmtId="166" fontId="4" fillId="7" borderId="0" xfId="1" applyNumberFormat="1" applyFont="1" applyFill="1" applyAlignment="1">
      <alignment horizontal="right" vertical="top"/>
    </xf>
    <xf numFmtId="166" fontId="4" fillId="2" borderId="0" xfId="0" applyNumberFormat="1" applyFont="1" applyFill="1" applyAlignment="1">
      <alignment horizontal="right" vertical="top"/>
    </xf>
    <xf numFmtId="170" fontId="4" fillId="2" borderId="0" xfId="0" applyNumberFormat="1" applyFont="1" applyFill="1" applyAlignment="1">
      <alignment horizontal="right" vertical="top"/>
    </xf>
    <xf numFmtId="172" fontId="4" fillId="2" borderId="0" xfId="1" applyNumberFormat="1" applyFont="1" applyFill="1">
      <alignment vertical="top"/>
    </xf>
    <xf numFmtId="166" fontId="3" fillId="2" borderId="1" xfId="1" applyNumberFormat="1" applyFont="1" applyFill="1" applyBorder="1">
      <alignment vertical="top"/>
    </xf>
    <xf numFmtId="1" fontId="13" fillId="6" borderId="0" xfId="0" applyNumberFormat="1" applyFont="1" applyFill="1" applyAlignment="1"/>
    <xf numFmtId="166" fontId="13" fillId="6" borderId="0" xfId="0" applyNumberFormat="1" applyFont="1" applyFill="1" applyAlignment="1"/>
    <xf numFmtId="171" fontId="13" fillId="2" borderId="0" xfId="0" applyNumberFormat="1" applyFont="1" applyFill="1">
      <alignment vertical="top"/>
    </xf>
    <xf numFmtId="166" fontId="3" fillId="2" borderId="4" xfId="0" applyNumberFormat="1" applyFont="1" applyFill="1" applyBorder="1" applyAlignment="1">
      <alignment horizontal="right"/>
    </xf>
    <xf numFmtId="2" fontId="4" fillId="3" borderId="0" xfId="0" applyNumberFormat="1" applyFont="1" applyFill="1" applyAlignment="1">
      <alignment horizontal="right" vertical="top"/>
    </xf>
    <xf numFmtId="2" fontId="4" fillId="2" borderId="0" xfId="0" applyNumberFormat="1" applyFont="1" applyFill="1">
      <alignment vertical="top"/>
    </xf>
    <xf numFmtId="2" fontId="3" fillId="2" borderId="1" xfId="0" applyNumberFormat="1" applyFont="1" applyFill="1" applyBorder="1" applyAlignment="1">
      <alignment horizontal="right" vertical="top"/>
    </xf>
    <xf numFmtId="9" fontId="26" fillId="2" borderId="0" xfId="2" applyFont="1" applyFill="1">
      <alignment vertical="top"/>
    </xf>
    <xf numFmtId="0" fontId="27" fillId="2" borderId="0" xfId="0" applyFont="1" applyFill="1">
      <alignment vertical="top"/>
    </xf>
    <xf numFmtId="9" fontId="26" fillId="7" borderId="0" xfId="0" applyNumberFormat="1" applyFont="1" applyFill="1">
      <alignment vertical="top"/>
    </xf>
    <xf numFmtId="2" fontId="15" fillId="3" borderId="0" xfId="0" applyNumberFormat="1" applyFont="1" applyFill="1" applyAlignment="1">
      <alignment horizontal="right"/>
    </xf>
    <xf numFmtId="0" fontId="7" fillId="5" borderId="0" xfId="0" applyFont="1" applyFill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rgbClr val="002060"/>
                </a:solidFill>
              </a:rPr>
              <a:t>Tesla vehicle</a:t>
            </a:r>
            <a:r>
              <a:rPr lang="en-US" sz="1400" b="1" baseline="0">
                <a:solidFill>
                  <a:srgbClr val="002060"/>
                </a:solidFill>
              </a:rPr>
              <a:t> deliveries 2014-2027 (actuals and forecasts)</a:t>
            </a:r>
            <a:endParaRPr lang="en-US" sz="1400" b="1">
              <a:solidFill>
                <a:srgbClr val="002060"/>
              </a:solidFill>
            </a:endParaRPr>
          </a:p>
        </c:rich>
      </c:tx>
      <c:layout>
        <c:manualLayout>
          <c:xMode val="edge"/>
          <c:yMode val="edge"/>
          <c:x val="5.0621780083541838E-2"/>
          <c:y val="2.0921471574044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49941694014521E-2"/>
          <c:y val="0.11001056524035922"/>
          <c:w val="0.89789168805756225"/>
          <c:h val="0.739280440578842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Deliveries!$B$5</c:f>
              <c:strCache>
                <c:ptCount val="1"/>
                <c:pt idx="0">
                  <c:v>Tesla Model 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Deliveries!$C$5:$S$5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1764</c:v>
                </c:pt>
                <c:pt idx="4">
                  <c:v>26620</c:v>
                </c:pt>
                <c:pt idx="5">
                  <c:v>104000</c:v>
                </c:pt>
                <c:pt idx="6">
                  <c:v>130620</c:v>
                </c:pt>
                <c:pt idx="7">
                  <c:v>260000</c:v>
                </c:pt>
                <c:pt idx="8">
                  <c:v>416000</c:v>
                </c:pt>
                <c:pt idx="9">
                  <c:v>457600.00000000006</c:v>
                </c:pt>
                <c:pt idx="10">
                  <c:v>503360.00000000012</c:v>
                </c:pt>
                <c:pt idx="11">
                  <c:v>528528.00000000012</c:v>
                </c:pt>
                <c:pt idx="12">
                  <c:v>554954.40000000014</c:v>
                </c:pt>
                <c:pt idx="13">
                  <c:v>566053.48800000013</c:v>
                </c:pt>
                <c:pt idx="14">
                  <c:v>577374.55776000011</c:v>
                </c:pt>
                <c:pt idx="15">
                  <c:v>588922.04891520017</c:v>
                </c:pt>
                <c:pt idx="16">
                  <c:v>600700.48989350419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0-4DB6-9889-2037335EE607}"/>
            </c:ext>
          </c:extLst>
        </c:ser>
        <c:ser>
          <c:idx val="1"/>
          <c:order val="1"/>
          <c:tx>
            <c:strRef>
              <c:f>Deliveries!$B$6</c:f>
              <c:strCache>
                <c:ptCount val="1"/>
                <c:pt idx="0">
                  <c:v>Tesla Model S and 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Deliveries!$C$6:$S$6</c:f>
              <c:numCache>
                <c:formatCode>_(* #\ ##0_);_(* \(#\ ##0\);_(* "-"?_);@_)</c:formatCode>
                <c:ptCount val="17"/>
                <c:pt idx="0">
                  <c:v>33600</c:v>
                </c:pt>
                <c:pt idx="1">
                  <c:v>50580</c:v>
                </c:pt>
                <c:pt idx="2">
                  <c:v>76230</c:v>
                </c:pt>
                <c:pt idx="3">
                  <c:v>101312</c:v>
                </c:pt>
                <c:pt idx="4">
                  <c:v>44100</c:v>
                </c:pt>
                <c:pt idx="5">
                  <c:v>55900</c:v>
                </c:pt>
                <c:pt idx="6">
                  <c:v>100000</c:v>
                </c:pt>
                <c:pt idx="7">
                  <c:v>102000</c:v>
                </c:pt>
                <c:pt idx="8">
                  <c:v>104040</c:v>
                </c:pt>
                <c:pt idx="9">
                  <c:v>106120.8</c:v>
                </c:pt>
                <c:pt idx="10">
                  <c:v>108243.216</c:v>
                </c:pt>
                <c:pt idx="11">
                  <c:v>110408.08032000001</c:v>
                </c:pt>
                <c:pt idx="12">
                  <c:v>112616.24192640001</c:v>
                </c:pt>
                <c:pt idx="13">
                  <c:v>114868.56676492801</c:v>
                </c:pt>
                <c:pt idx="14">
                  <c:v>117165.93810022657</c:v>
                </c:pt>
                <c:pt idx="15">
                  <c:v>119509.25686223111</c:v>
                </c:pt>
                <c:pt idx="16">
                  <c:v>121899.44199947573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0-4DB6-9889-2037335EE607}"/>
            </c:ext>
          </c:extLst>
        </c:ser>
        <c:ser>
          <c:idx val="2"/>
          <c:order val="2"/>
          <c:tx>
            <c:strRef>
              <c:f>Deliveries!$B$7</c:f>
              <c:strCache>
                <c:ptCount val="1"/>
                <c:pt idx="0">
                  <c:v>Tesla Model 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Deliveries!$C$7:$S$7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1764</c:v>
                </c:pt>
                <c:pt idx="8">
                  <c:v>130620</c:v>
                </c:pt>
                <c:pt idx="9">
                  <c:v>260000</c:v>
                </c:pt>
                <c:pt idx="10">
                  <c:v>416000</c:v>
                </c:pt>
                <c:pt idx="11">
                  <c:v>457600.00000000006</c:v>
                </c:pt>
                <c:pt idx="12">
                  <c:v>503360.00000000012</c:v>
                </c:pt>
                <c:pt idx="13">
                  <c:v>528528.00000000012</c:v>
                </c:pt>
                <c:pt idx="14">
                  <c:v>554954.40000000014</c:v>
                </c:pt>
                <c:pt idx="15">
                  <c:v>566053.48800000013</c:v>
                </c:pt>
                <c:pt idx="16">
                  <c:v>577374.55776000011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10-4DB6-9889-2037335EE607}"/>
            </c:ext>
          </c:extLst>
        </c:ser>
        <c:ser>
          <c:idx val="3"/>
          <c:order val="3"/>
          <c:tx>
            <c:strRef>
              <c:f>Deliveries!$B$8</c:f>
              <c:strCache>
                <c:ptCount val="1"/>
                <c:pt idx="0">
                  <c:v>Tesla Roadster 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Deliveries!$C$8:$S$8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500</c:v>
                </c:pt>
                <c:pt idx="9">
                  <c:v>1000</c:v>
                </c:pt>
                <c:pt idx="10">
                  <c:v>1500</c:v>
                </c:pt>
                <c:pt idx="11">
                  <c:v>1650.0000000000002</c:v>
                </c:pt>
                <c:pt idx="12">
                  <c:v>1815.0000000000005</c:v>
                </c:pt>
                <c:pt idx="13">
                  <c:v>1905.7500000000005</c:v>
                </c:pt>
                <c:pt idx="14">
                  <c:v>2001.0375000000006</c:v>
                </c:pt>
                <c:pt idx="15">
                  <c:v>2041.0582500000007</c:v>
                </c:pt>
                <c:pt idx="16">
                  <c:v>2081.8794150000008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10-4DB6-9889-2037335EE607}"/>
            </c:ext>
          </c:extLst>
        </c:ser>
        <c:ser>
          <c:idx val="4"/>
          <c:order val="4"/>
          <c:tx>
            <c:strRef>
              <c:f>Deliveries!$B$9</c:f>
              <c:strCache>
                <c:ptCount val="1"/>
                <c:pt idx="0">
                  <c:v>Tesla Pickup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Deliveries!$C$9:$S$9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10-4DB6-9889-2037335EE607}"/>
            </c:ext>
          </c:extLst>
        </c:ser>
        <c:ser>
          <c:idx val="5"/>
          <c:order val="5"/>
          <c:tx>
            <c:strRef>
              <c:f>Deliveries!$B$10</c:f>
              <c:strCache>
                <c:ptCount val="1"/>
                <c:pt idx="0">
                  <c:v>Tesla Semi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10-4DB6-9889-2037335EE60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10-4DB6-9889-2037335EE607}"/>
                </c:ext>
              </c:extLst>
            </c:dLbl>
            <c:dLbl>
              <c:idx val="6"/>
              <c:layout>
                <c:manualLayout>
                  <c:x val="-8.4058328966294317E-17"/>
                  <c:y val="-1.32065504490227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10-4DB6-9889-2037335EE60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Deliveries!$C$10:$S$10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10-4DB6-9889-2037335EE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1046368"/>
        <c:axId val="601044072"/>
      </c:barChart>
      <c:catAx>
        <c:axId val="60104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4072"/>
        <c:crosses val="autoZero"/>
        <c:auto val="1"/>
        <c:lblAlgn val="ctr"/>
        <c:lblOffset val="100"/>
        <c:noMultiLvlLbl val="0"/>
      </c:catAx>
      <c:valAx>
        <c:axId val="601044072"/>
        <c:scaling>
          <c:orientation val="minMax"/>
          <c:max val="2000000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Production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6368"/>
        <c:crosses val="autoZero"/>
        <c:crossBetween val="between"/>
        <c:majorUnit val="2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rgbClr val="002060"/>
                </a:solidFill>
              </a:rPr>
              <a:t>Revenue and Gross Profit automotive</a:t>
            </a:r>
          </a:p>
        </c:rich>
      </c:tx>
      <c:layout>
        <c:manualLayout>
          <c:xMode val="edge"/>
          <c:yMode val="edge"/>
          <c:x val="1.8189188329924437E-2"/>
          <c:y val="2.2779043280182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rgbClr val="00206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639833547051577E-2"/>
          <c:y val="0.11548974943052394"/>
          <c:w val="0.89667412031100424"/>
          <c:h val="0.67086315235652494"/>
        </c:manualLayout>
      </c:layout>
      <c:areaChart>
        <c:grouping val="standard"/>
        <c:varyColors val="0"/>
        <c:ser>
          <c:idx val="0"/>
          <c:order val="0"/>
          <c:tx>
            <c:strRef>
              <c:f>'Revenue &amp; GP autom'!$B$4</c:f>
              <c:strCache>
                <c:ptCount val="1"/>
                <c:pt idx="0">
                  <c:v>Revenue automotive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autom'!$C$4:$S$4</c:f>
              <c:numCache>
                <c:formatCode>_(* #\ ##0_);_(* \(#\ ##0\);_(* "-"?_);@_)</c:formatCode>
                <c:ptCount val="15"/>
                <c:pt idx="0">
                  <c:v>3007.0120000000002</c:v>
                </c:pt>
                <c:pt idx="1">
                  <c:v>3740.973</c:v>
                </c:pt>
                <c:pt idx="2">
                  <c:v>6350.7659999999996</c:v>
                </c:pt>
                <c:pt idx="3">
                  <c:v>9641.2999999999993</c:v>
                </c:pt>
                <c:pt idx="4">
                  <c:v>14236.04</c:v>
                </c:pt>
                <c:pt idx="5">
                  <c:v>19998.95</c:v>
                </c:pt>
                <c:pt idx="6">
                  <c:v>38090.130952380954</c:v>
                </c:pt>
                <c:pt idx="7">
                  <c:v>51425.813083900233</c:v>
                </c:pt>
                <c:pt idx="8">
                  <c:v>67263.070334240372</c:v>
                </c:pt>
                <c:pt idx="9">
                  <c:v>72174.618855664419</c:v>
                </c:pt>
                <c:pt idx="10">
                  <c:v>77509.315378990868</c:v>
                </c:pt>
                <c:pt idx="11">
                  <c:v>80389.920968883598</c:v>
                </c:pt>
                <c:pt idx="12">
                  <c:v>83394.659634689859</c:v>
                </c:pt>
                <c:pt idx="13">
                  <c:v>85062.552827383639</c:v>
                </c:pt>
                <c:pt idx="14">
                  <c:v>86763.803883931323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8-45C8-9C4E-140E5D1152B1}"/>
            </c:ext>
          </c:extLst>
        </c:ser>
        <c:ser>
          <c:idx val="1"/>
          <c:order val="1"/>
          <c:tx>
            <c:strRef>
              <c:f>'Revenue &amp; GP autom'!$B$5</c:f>
              <c:strCache>
                <c:ptCount val="1"/>
                <c:pt idx="0">
                  <c:v>Gross Profit automotive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autom'!$C$5:$S$5</c:f>
              <c:numCache>
                <c:formatCode>_(* #\ ##0_);_(* \(#\ ##0\);_(* "-"?_);@_)</c:formatCode>
                <c:ptCount val="15"/>
                <c:pt idx="0">
                  <c:v>861.26300000000003</c:v>
                </c:pt>
                <c:pt idx="1">
                  <c:v>917.67100000000005</c:v>
                </c:pt>
                <c:pt idx="2">
                  <c:v>1600.6849999999999</c:v>
                </c:pt>
                <c:pt idx="3">
                  <c:v>2208.596</c:v>
                </c:pt>
                <c:pt idx="4">
                  <c:v>2711.0202547520225</c:v>
                </c:pt>
                <c:pt idx="5">
                  <c:v>3095.1669636444458</c:v>
                </c:pt>
                <c:pt idx="6">
                  <c:v>6066.2463188036818</c:v>
                </c:pt>
                <c:pt idx="7">
                  <c:v>8451.7560444566952</c:v>
                </c:pt>
                <c:pt idx="8">
                  <c:v>11289.414938441347</c:v>
                </c:pt>
                <c:pt idx="9">
                  <c:v>12141.916319818894</c:v>
                </c:pt>
                <c:pt idx="10">
                  <c:v>13070.213908266798</c:v>
                </c:pt>
                <c:pt idx="11">
                  <c:v>13580.36870364188</c:v>
                </c:pt>
                <c:pt idx="12">
                  <c:v>14113.164120784952</c:v>
                </c:pt>
                <c:pt idx="13">
                  <c:v>14395.427403200651</c:v>
                </c:pt>
                <c:pt idx="14">
                  <c:v>14683.335951264664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18-45C8-9C4E-140E5D11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012664"/>
        <c:axId val="435013320"/>
      </c:areaChart>
      <c:lineChart>
        <c:grouping val="standard"/>
        <c:varyColors val="0"/>
        <c:ser>
          <c:idx val="2"/>
          <c:order val="2"/>
          <c:tx>
            <c:strRef>
              <c:f>'Revenue &amp; GP autom'!$B$6</c:f>
              <c:strCache>
                <c:ptCount val="1"/>
                <c:pt idx="0">
                  <c:v>GP%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autom'!$C$6:$S$6</c:f>
              <c:numCache>
                <c:formatCode>0%</c:formatCode>
                <c:ptCount val="15"/>
                <c:pt idx="0">
                  <c:v>0.28641821183287597</c:v>
                </c:pt>
                <c:pt idx="1">
                  <c:v>0.24530275946926108</c:v>
                </c:pt>
                <c:pt idx="2">
                  <c:v>0.25204597366679865</c:v>
                </c:pt>
                <c:pt idx="3">
                  <c:v>0.2290765768101812</c:v>
                </c:pt>
                <c:pt idx="4">
                  <c:v>0.19043359352404338</c:v>
                </c:pt>
                <c:pt idx="5">
                  <c:v>0.15476647342207694</c:v>
                </c:pt>
                <c:pt idx="6">
                  <c:v>0.15926031670480487</c:v>
                </c:pt>
                <c:pt idx="7">
                  <c:v>0.16434851561156294</c:v>
                </c:pt>
                <c:pt idx="8">
                  <c:v>0.16783972070175412</c:v>
                </c:pt>
                <c:pt idx="9">
                  <c:v>0.16822972552304613</c:v>
                </c:pt>
                <c:pt idx="10">
                  <c:v>0.16862765261644305</c:v>
                </c:pt>
                <c:pt idx="11">
                  <c:v>0.1689312359057849</c:v>
                </c:pt>
                <c:pt idx="12">
                  <c:v>0.16923342792701163</c:v>
                </c:pt>
                <c:pt idx="13">
                  <c:v>0.16923342792701165</c:v>
                </c:pt>
                <c:pt idx="14">
                  <c:v>0.16923342792701163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A18-45C8-9C4E-140E5D11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241440"/>
        <c:axId val="614241112"/>
      </c:lineChart>
      <c:catAx>
        <c:axId val="435012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013320"/>
        <c:crosses val="autoZero"/>
        <c:auto val="1"/>
        <c:lblAlgn val="ctr"/>
        <c:lblOffset val="100"/>
        <c:noMultiLvlLbl val="0"/>
      </c:catAx>
      <c:valAx>
        <c:axId val="435013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$ in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012664"/>
        <c:crosses val="autoZero"/>
        <c:crossBetween val="between"/>
      </c:valAx>
      <c:valAx>
        <c:axId val="61424111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4241440"/>
        <c:crosses val="max"/>
        <c:crossBetween val="between"/>
      </c:valAx>
      <c:catAx>
        <c:axId val="614241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42411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487680</xdr:colOff>
      <xdr:row>0</xdr:row>
      <xdr:rowOff>0</xdr:rowOff>
    </xdr:from>
    <xdr:to>
      <xdr:col>22</xdr:col>
      <xdr:colOff>121920</xdr:colOff>
      <xdr:row>27</xdr:row>
      <xdr:rowOff>116840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ECFC3C-7143-4EF3-984F-BADB36218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8720" y="0"/>
          <a:ext cx="8382000" cy="55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238908</xdr:colOff>
      <xdr:row>1</xdr:row>
      <xdr:rowOff>53340</xdr:rowOff>
    </xdr:from>
    <xdr:to>
      <xdr:col>10</xdr:col>
      <xdr:colOff>121919</xdr:colOff>
      <xdr:row>19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3E572DA-DB7E-409D-B549-B912FDF33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7448" y="251460"/>
          <a:ext cx="4348331" cy="2712720"/>
        </a:xfrm>
        <a:prstGeom prst="rect">
          <a:avLst/>
        </a:prstGeom>
      </xdr:spPr>
    </xdr:pic>
    <xdr:clientData/>
  </xdr:twoCellAnchor>
  <xdr:twoCellAnchor editAs="oneCell">
    <xdr:from>
      <xdr:col>10</xdr:col>
      <xdr:colOff>277700</xdr:colOff>
      <xdr:row>1</xdr:row>
      <xdr:rowOff>53340</xdr:rowOff>
    </xdr:from>
    <xdr:to>
      <xdr:col>14</xdr:col>
      <xdr:colOff>670559</xdr:colOff>
      <xdr:row>25</xdr:row>
      <xdr:rowOff>7620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E606D0-DC6D-4F5A-91AE-D80CD93E1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1560" y="251460"/>
          <a:ext cx="3250359" cy="34747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22</xdr:col>
      <xdr:colOff>160020</xdr:colOff>
      <xdr:row>34</xdr:row>
      <xdr:rowOff>106680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10652E-16B4-4864-83D3-1071C576A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7</xdr:row>
      <xdr:rowOff>114300</xdr:rowOff>
    </xdr:from>
    <xdr:to>
      <xdr:col>18</xdr:col>
      <xdr:colOff>480060</xdr:colOff>
      <xdr:row>30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80157E-8EE3-4C14-9D4C-293C73545A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275CB-43A1-41B9-9A4A-DD70DC72C585}">
  <sheetPr>
    <tabColor rgb="FFC00000"/>
  </sheetPr>
  <dimension ref="B9:C10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9" spans="2:3" ht="50.4" x14ac:dyDescent="0.25">
      <c r="B9" s="11" t="s">
        <v>138</v>
      </c>
      <c r="C9" s="70"/>
    </row>
    <row r="10" spans="2:3" ht="50.4" x14ac:dyDescent="0.25">
      <c r="B10" s="11" t="s">
        <v>139</v>
      </c>
      <c r="C10" s="7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workbookViewId="0">
      <selection activeCell="C3" sqref="C3"/>
    </sheetView>
  </sheetViews>
  <sheetFormatPr defaultColWidth="9.109375" defaultRowHeight="11.4" x14ac:dyDescent="0.25"/>
  <cols>
    <col min="1" max="1" width="2" style="8" customWidth="1"/>
    <col min="2" max="2" width="27.21875" style="8" bestFit="1" customWidth="1"/>
    <col min="3" max="6" width="11.33203125" style="8" bestFit="1" customWidth="1"/>
    <col min="7" max="7" width="11.44140625" style="8" bestFit="1" customWidth="1"/>
    <col min="8" max="11" width="10.33203125" style="8" bestFit="1" customWidth="1"/>
    <col min="12" max="16" width="10.44140625" style="8" bestFit="1" customWidth="1"/>
    <col min="17" max="16384" width="9.109375" style="8"/>
  </cols>
  <sheetData>
    <row r="1" spans="1:6" ht="15.6" x14ac:dyDescent="0.25">
      <c r="A1" s="1"/>
      <c r="B1" s="2" t="s">
        <v>74</v>
      </c>
    </row>
    <row r="3" spans="1:6" ht="13.2" x14ac:dyDescent="0.25">
      <c r="B3" s="8" t="s">
        <v>75</v>
      </c>
      <c r="C3" s="12">
        <v>2</v>
      </c>
      <c r="E3" s="4"/>
      <c r="F3" s="4"/>
    </row>
    <row r="4" spans="1:6" ht="13.2" x14ac:dyDescent="0.25">
      <c r="B4" s="8" t="s">
        <v>243</v>
      </c>
      <c r="C4" s="82" t="s">
        <v>138</v>
      </c>
      <c r="E4" s="4"/>
      <c r="F4" s="4"/>
    </row>
    <row r="5" spans="1:6" x14ac:dyDescent="0.25">
      <c r="B5" s="8" t="s">
        <v>133</v>
      </c>
      <c r="C5" s="68" t="s">
        <v>134</v>
      </c>
    </row>
    <row r="6" spans="1:6" x14ac:dyDescent="0.25">
      <c r="B6" s="8" t="s">
        <v>135</v>
      </c>
      <c r="C6" s="68" t="s">
        <v>136</v>
      </c>
    </row>
    <row r="7" spans="1:6" x14ac:dyDescent="0.25">
      <c r="B7" s="8" t="s">
        <v>244</v>
      </c>
      <c r="C7" s="69">
        <v>3.0700000000000002E-2</v>
      </c>
    </row>
    <row r="8" spans="1:6" x14ac:dyDescent="0.25">
      <c r="B8" s="8" t="s">
        <v>137</v>
      </c>
      <c r="C8" s="28">
        <v>0.05</v>
      </c>
    </row>
    <row r="9" spans="1:6" x14ac:dyDescent="0.25">
      <c r="B9" s="8" t="s">
        <v>245</v>
      </c>
      <c r="C9" s="8">
        <v>0.78</v>
      </c>
    </row>
    <row r="10" spans="1:6" x14ac:dyDescent="0.25">
      <c r="B10" s="8" t="s">
        <v>246</v>
      </c>
      <c r="C10" s="8">
        <v>307.8</v>
      </c>
    </row>
    <row r="11" spans="1:6" x14ac:dyDescent="0.2">
      <c r="B11" s="19" t="s">
        <v>247</v>
      </c>
      <c r="C11" s="25">
        <v>7.4999999999999997E-2</v>
      </c>
    </row>
    <row r="12" spans="1:6" x14ac:dyDescent="0.25">
      <c r="B12" s="8" t="s">
        <v>103</v>
      </c>
      <c r="C12" s="28">
        <v>0.3</v>
      </c>
    </row>
    <row r="13" spans="1:6" x14ac:dyDescent="0.25">
      <c r="B13" s="8" t="s">
        <v>105</v>
      </c>
      <c r="C13" s="28">
        <v>0.02</v>
      </c>
    </row>
  </sheetData>
  <dataValidations count="1">
    <dataValidation type="list" allowBlank="1" showInputMessage="1" showErrorMessage="1" sqref="C3" xr:uid="{00000000-0002-0000-0300-000000000000}">
      <formula1>"1,2,3"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6"/>
  <sheetViews>
    <sheetView workbookViewId="0">
      <selection activeCell="G16" sqref="G16"/>
    </sheetView>
  </sheetViews>
  <sheetFormatPr defaultColWidth="9.109375" defaultRowHeight="13.2" x14ac:dyDescent="0.25"/>
  <cols>
    <col min="1" max="1" width="2" style="1" customWidth="1"/>
    <col min="2" max="2" width="41.6640625" style="1" bestFit="1" customWidth="1"/>
    <col min="3" max="5" width="11.33203125" style="1" bestFit="1" customWidth="1"/>
    <col min="6" max="6" width="11.5546875" style="1" customWidth="1"/>
    <col min="7" max="7" width="11.44140625" style="1" bestFit="1" customWidth="1"/>
    <col min="8" max="16384" width="9.109375" style="1"/>
  </cols>
  <sheetData>
    <row r="1" spans="2:7" ht="15.6" x14ac:dyDescent="0.25">
      <c r="B1" s="2" t="s">
        <v>108</v>
      </c>
    </row>
    <row r="3" spans="2:7" ht="24" x14ac:dyDescent="0.25">
      <c r="B3" s="5" t="s">
        <v>37</v>
      </c>
      <c r="C3" s="6" t="s">
        <v>45</v>
      </c>
      <c r="D3" s="6" t="s">
        <v>46</v>
      </c>
      <c r="E3" s="6" t="s">
        <v>47</v>
      </c>
      <c r="F3" s="6" t="s">
        <v>107</v>
      </c>
      <c r="G3" s="67" t="s">
        <v>115</v>
      </c>
    </row>
    <row r="4" spans="2:7" x14ac:dyDescent="0.25">
      <c r="B4" s="7" t="s">
        <v>80</v>
      </c>
      <c r="C4" s="40">
        <v>3007012</v>
      </c>
      <c r="D4" s="40">
        <v>3740973</v>
      </c>
      <c r="E4" s="40">
        <v>6350766</v>
      </c>
      <c r="F4" s="40">
        <v>9641300</v>
      </c>
      <c r="G4" s="41">
        <v>6092998</v>
      </c>
    </row>
    <row r="5" spans="2:7" x14ac:dyDescent="0.25">
      <c r="B5" s="8" t="s">
        <v>3</v>
      </c>
      <c r="C5" s="42">
        <v>4208</v>
      </c>
      <c r="D5" s="42">
        <v>14477</v>
      </c>
      <c r="E5" s="42">
        <v>181394</v>
      </c>
      <c r="F5" s="42">
        <v>1116266</v>
      </c>
      <c r="G5" s="43">
        <v>784430</v>
      </c>
    </row>
    <row r="6" spans="2:7" x14ac:dyDescent="0.25">
      <c r="B6" s="8" t="s">
        <v>2</v>
      </c>
      <c r="C6" s="42">
        <v>187136</v>
      </c>
      <c r="D6" s="42">
        <v>290575</v>
      </c>
      <c r="E6" s="42">
        <v>467972</v>
      </c>
      <c r="F6" s="42">
        <v>1001185</v>
      </c>
      <c r="G6" s="43">
        <v>533554</v>
      </c>
    </row>
    <row r="7" spans="2:7" x14ac:dyDescent="0.25">
      <c r="B7" s="9" t="s">
        <v>0</v>
      </c>
      <c r="C7" s="44">
        <f>SUM(C4:C6)</f>
        <v>3198356</v>
      </c>
      <c r="D7" s="44">
        <f>SUM(D4:D6)</f>
        <v>4046025</v>
      </c>
      <c r="E7" s="44">
        <f>SUM(E4:E6)</f>
        <v>7000132</v>
      </c>
      <c r="F7" s="44">
        <f>SUM(F4:F6)</f>
        <v>11758751</v>
      </c>
      <c r="G7" s="45">
        <f>SUM(G4:G6)</f>
        <v>7410982</v>
      </c>
    </row>
    <row r="8" spans="2:7" x14ac:dyDescent="0.25">
      <c r="B8" s="8" t="s">
        <v>42</v>
      </c>
      <c r="C8" s="42">
        <v>-2145749</v>
      </c>
      <c r="D8" s="42">
        <v>-2823302</v>
      </c>
      <c r="E8" s="42">
        <v>-4750081</v>
      </c>
      <c r="F8" s="42">
        <v>-7432704</v>
      </c>
      <c r="G8" s="43">
        <v>-4862547</v>
      </c>
    </row>
    <row r="9" spans="2:7" x14ac:dyDescent="0.25">
      <c r="B9" s="8" t="s">
        <v>40</v>
      </c>
      <c r="C9" s="42">
        <v>-4005</v>
      </c>
      <c r="D9" s="42">
        <v>-12287</v>
      </c>
      <c r="E9" s="42">
        <v>-178332</v>
      </c>
      <c r="F9" s="42">
        <v>-874538</v>
      </c>
      <c r="G9" s="43">
        <v>-705636</v>
      </c>
    </row>
    <row r="10" spans="2:7" x14ac:dyDescent="0.25">
      <c r="B10" s="8" t="s">
        <v>41</v>
      </c>
      <c r="C10" s="42">
        <v>-166931</v>
      </c>
      <c r="D10" s="42">
        <v>-286933</v>
      </c>
      <c r="E10" s="42">
        <v>-472462</v>
      </c>
      <c r="F10" s="42">
        <v>-1229022</v>
      </c>
      <c r="G10" s="43">
        <v>-767343</v>
      </c>
    </row>
    <row r="11" spans="2:7" x14ac:dyDescent="0.25">
      <c r="B11" s="9" t="s">
        <v>1</v>
      </c>
      <c r="C11" s="44">
        <f>SUM(C7:C10)</f>
        <v>881671</v>
      </c>
      <c r="D11" s="44">
        <f>SUM(D7:D10)</f>
        <v>923503</v>
      </c>
      <c r="E11" s="44">
        <f>SUM(E7:E10)</f>
        <v>1599257</v>
      </c>
      <c r="F11" s="44">
        <f>SUM(F7:F10)</f>
        <v>2222487</v>
      </c>
      <c r="G11" s="45">
        <f>SUM(G7:G10)</f>
        <v>1075456</v>
      </c>
    </row>
    <row r="12" spans="2:7" x14ac:dyDescent="0.25">
      <c r="B12" s="8" t="s">
        <v>4</v>
      </c>
      <c r="C12" s="42">
        <v>-464700</v>
      </c>
      <c r="D12" s="42">
        <v>-717900</v>
      </c>
      <c r="E12" s="42">
        <v>-834408</v>
      </c>
      <c r="F12" s="42">
        <v>-1378073</v>
      </c>
      <c r="G12" s="43">
        <v>-753225</v>
      </c>
    </row>
    <row r="13" spans="2:7" x14ac:dyDescent="0.25">
      <c r="B13" s="8" t="s">
        <v>33</v>
      </c>
      <c r="C13" s="42">
        <v>-603660</v>
      </c>
      <c r="D13" s="42">
        <v>-922232</v>
      </c>
      <c r="E13" s="42">
        <v>-1432189</v>
      </c>
      <c r="F13" s="42">
        <v>-2476500</v>
      </c>
      <c r="G13" s="43">
        <v>-1437163</v>
      </c>
    </row>
    <row r="14" spans="2:7" x14ac:dyDescent="0.25">
      <c r="B14" s="8" t="s">
        <v>112</v>
      </c>
      <c r="C14" s="42"/>
      <c r="D14" s="42"/>
      <c r="E14" s="42"/>
      <c r="F14" s="42"/>
      <c r="G14" s="43">
        <v>-103434</v>
      </c>
    </row>
    <row r="15" spans="2:7" x14ac:dyDescent="0.25">
      <c r="B15" s="9" t="s">
        <v>43</v>
      </c>
      <c r="C15" s="44">
        <f t="shared" ref="C15:F15" si="0">SUM(C11:C14)</f>
        <v>-186689</v>
      </c>
      <c r="D15" s="44">
        <f t="shared" si="0"/>
        <v>-716629</v>
      </c>
      <c r="E15" s="44">
        <f t="shared" si="0"/>
        <v>-667340</v>
      </c>
      <c r="F15" s="44">
        <f t="shared" si="0"/>
        <v>-1632086</v>
      </c>
      <c r="G15" s="45">
        <f>SUM(G11:G14)</f>
        <v>-1218366</v>
      </c>
    </row>
    <row r="16" spans="2:7" x14ac:dyDescent="0.25">
      <c r="B16" s="8" t="s">
        <v>34</v>
      </c>
      <c r="C16" s="42">
        <v>1126</v>
      </c>
      <c r="D16" s="42">
        <v>1508</v>
      </c>
      <c r="E16" s="42">
        <v>8530</v>
      </c>
      <c r="F16" s="42">
        <v>19686</v>
      </c>
      <c r="G16" s="43">
        <v>10278</v>
      </c>
    </row>
    <row r="17" spans="2:7" x14ac:dyDescent="0.25">
      <c r="B17" s="8" t="s">
        <v>5</v>
      </c>
      <c r="C17" s="42">
        <v>-100886</v>
      </c>
      <c r="D17" s="42">
        <v>-118851</v>
      </c>
      <c r="E17" s="42">
        <v>-198810</v>
      </c>
      <c r="F17" s="42">
        <v>-471259</v>
      </c>
      <c r="G17" s="43">
        <v>-313128</v>
      </c>
    </row>
    <row r="18" spans="2:7" x14ac:dyDescent="0.25">
      <c r="B18" s="8" t="s">
        <v>35</v>
      </c>
      <c r="C18" s="42">
        <v>1813</v>
      </c>
      <c r="D18" s="42">
        <v>-41652</v>
      </c>
      <c r="E18" s="42">
        <v>111272</v>
      </c>
      <c r="F18" s="42">
        <v>-125373</v>
      </c>
      <c r="G18" s="43">
        <v>13195</v>
      </c>
    </row>
    <row r="19" spans="2:7" x14ac:dyDescent="0.25">
      <c r="B19" s="9" t="s">
        <v>44</v>
      </c>
      <c r="C19" s="44">
        <f>SUM(C15:C18)</f>
        <v>-284636</v>
      </c>
      <c r="D19" s="44">
        <f>SUM(D15:D18)</f>
        <v>-875624</v>
      </c>
      <c r="E19" s="44">
        <f>SUM(E15:E18)</f>
        <v>-746348</v>
      </c>
      <c r="F19" s="44">
        <f>SUM(F15:F18)</f>
        <v>-2209032</v>
      </c>
      <c r="G19" s="45">
        <f>SUM(G15:G18)</f>
        <v>-1508021</v>
      </c>
    </row>
    <row r="20" spans="2:7" x14ac:dyDescent="0.25">
      <c r="B20" s="8" t="s">
        <v>6</v>
      </c>
      <c r="C20" s="42">
        <v>-9404</v>
      </c>
      <c r="D20" s="42">
        <v>-13039</v>
      </c>
      <c r="E20" s="42">
        <v>-26698</v>
      </c>
      <c r="F20" s="42">
        <v>-31546</v>
      </c>
      <c r="G20" s="43">
        <v>-19312</v>
      </c>
    </row>
    <row r="21" spans="2:7" x14ac:dyDescent="0.25">
      <c r="B21" s="9" t="s">
        <v>58</v>
      </c>
      <c r="C21" s="44">
        <f>SUM(C19:C20)</f>
        <v>-294040</v>
      </c>
      <c r="D21" s="44">
        <f>SUM(D19:D20)</f>
        <v>-888663</v>
      </c>
      <c r="E21" s="44">
        <f>SUM(E19:E20)</f>
        <v>-773046</v>
      </c>
      <c r="F21" s="44">
        <f>SUM(F19:F20)</f>
        <v>-2240578</v>
      </c>
      <c r="G21" s="45">
        <f>SUM(G19:G20)</f>
        <v>-1527333</v>
      </c>
    </row>
    <row r="22" spans="2:7" s="3" customFormat="1" x14ac:dyDescent="0.25">
      <c r="B22" s="8" t="s">
        <v>59</v>
      </c>
      <c r="C22" s="42">
        <v>0</v>
      </c>
      <c r="D22" s="42">
        <v>0</v>
      </c>
      <c r="E22" s="42">
        <v>98132</v>
      </c>
      <c r="F22" s="42">
        <v>279178</v>
      </c>
      <c r="G22" s="43">
        <v>100243</v>
      </c>
    </row>
    <row r="23" spans="2:7" s="3" customFormat="1" ht="13.8" thickBot="1" x14ac:dyDescent="0.3">
      <c r="B23" s="10" t="s">
        <v>36</v>
      </c>
      <c r="C23" s="46">
        <f>SUM(C21:C22)</f>
        <v>-294040</v>
      </c>
      <c r="D23" s="46">
        <f>SUM(D21:D22)</f>
        <v>-888663</v>
      </c>
      <c r="E23" s="46">
        <f>SUM(E21:E22)</f>
        <v>-674914</v>
      </c>
      <c r="F23" s="46">
        <f>SUM(F21:F22)</f>
        <v>-1961400</v>
      </c>
      <c r="G23" s="47">
        <f>SUM(G21:G22)</f>
        <v>-1427090</v>
      </c>
    </row>
    <row r="25" spans="2:7" x14ac:dyDescent="0.2">
      <c r="B25" s="39" t="s">
        <v>113</v>
      </c>
      <c r="C25" s="38"/>
      <c r="D25" s="38"/>
      <c r="E25" s="38"/>
      <c r="F25" s="38"/>
      <c r="G25" s="38"/>
    </row>
    <row r="26" spans="2:7" x14ac:dyDescent="0.2">
      <c r="B26" s="38" t="s">
        <v>233</v>
      </c>
      <c r="C26" s="48"/>
      <c r="D26" s="48">
        <f t="shared" ref="D26:F28" si="1">D4/C4-1</f>
        <v>0.2440831629537894</v>
      </c>
      <c r="E26" s="48">
        <f t="shared" si="1"/>
        <v>0.69762412078355007</v>
      </c>
      <c r="F26" s="48">
        <f t="shared" si="1"/>
        <v>0.51813182850698647</v>
      </c>
      <c r="G26" s="48"/>
    </row>
    <row r="27" spans="2:7" x14ac:dyDescent="0.2">
      <c r="B27" s="38" t="s">
        <v>234</v>
      </c>
      <c r="C27" s="48"/>
      <c r="D27" s="48">
        <f t="shared" si="1"/>
        <v>2.440351711026616</v>
      </c>
      <c r="E27" s="48">
        <f t="shared" si="1"/>
        <v>11.529805899012226</v>
      </c>
      <c r="F27" s="48">
        <f t="shared" si="1"/>
        <v>5.1538198617374338</v>
      </c>
      <c r="G27" s="48"/>
    </row>
    <row r="28" spans="2:7" x14ac:dyDescent="0.2">
      <c r="B28" s="38" t="s">
        <v>235</v>
      </c>
      <c r="C28" s="48"/>
      <c r="D28" s="48">
        <f t="shared" si="1"/>
        <v>0.55274773426812596</v>
      </c>
      <c r="E28" s="48">
        <f t="shared" si="1"/>
        <v>0.61050331239783184</v>
      </c>
      <c r="F28" s="48">
        <f t="shared" si="1"/>
        <v>1.1394121870539262</v>
      </c>
      <c r="G28" s="48"/>
    </row>
    <row r="29" spans="2:7" x14ac:dyDescent="0.2">
      <c r="B29" s="38" t="s">
        <v>60</v>
      </c>
      <c r="C29" s="48">
        <f>(C4+C8)/C4</f>
        <v>0.28641821183287597</v>
      </c>
      <c r="D29" s="48">
        <f t="shared" ref="D29:G29" si="2">(D4+D8)/D4</f>
        <v>0.24530275946926108</v>
      </c>
      <c r="E29" s="48">
        <f t="shared" si="2"/>
        <v>0.2520459736667986</v>
      </c>
      <c r="F29" s="48">
        <f t="shared" si="2"/>
        <v>0.2290765768101812</v>
      </c>
      <c r="G29" s="48">
        <f t="shared" si="2"/>
        <v>0.20194508516168888</v>
      </c>
    </row>
    <row r="30" spans="2:7" x14ac:dyDescent="0.2">
      <c r="B30" s="38" t="s">
        <v>61</v>
      </c>
      <c r="C30" s="48">
        <f t="shared" ref="C30:G30" si="3">(C5+C9)/C5</f>
        <v>4.8241444866920155E-2</v>
      </c>
      <c r="D30" s="48">
        <f t="shared" si="3"/>
        <v>0.15127443531118326</v>
      </c>
      <c r="E30" s="48">
        <f t="shared" si="3"/>
        <v>1.688038193104513E-2</v>
      </c>
      <c r="F30" s="48">
        <f t="shared" si="3"/>
        <v>0.21655053544585251</v>
      </c>
      <c r="G30" s="48">
        <f t="shared" si="3"/>
        <v>0.10044745866425303</v>
      </c>
    </row>
    <row r="31" spans="2:7" x14ac:dyDescent="0.2">
      <c r="B31" s="38" t="s">
        <v>62</v>
      </c>
      <c r="C31" s="48">
        <f t="shared" ref="C31:G31" si="4">(C6+C10)/C6</f>
        <v>0.10796960499316005</v>
      </c>
      <c r="D31" s="48">
        <f t="shared" si="4"/>
        <v>1.2533769250623763E-2</v>
      </c>
      <c r="E31" s="48">
        <f t="shared" si="4"/>
        <v>-9.5945911293838088E-3</v>
      </c>
      <c r="F31" s="48">
        <f t="shared" si="4"/>
        <v>-0.22756733271073779</v>
      </c>
      <c r="G31" s="48">
        <f t="shared" si="4"/>
        <v>-0.43817308088778267</v>
      </c>
    </row>
    <row r="32" spans="2:7" x14ac:dyDescent="0.2">
      <c r="B32" s="38" t="s">
        <v>63</v>
      </c>
      <c r="C32" s="48">
        <f>(SUM(C4:C6)+SUM(C8:C10))/SUM(C4:C6)</f>
        <v>0.27566380978227567</v>
      </c>
      <c r="D32" s="48">
        <f>(SUM(D4:D6)+SUM(D8:D10))/SUM(D4:D6)</f>
        <v>0.22824945471172323</v>
      </c>
      <c r="E32" s="48">
        <f>(SUM(E4:E6)+SUM(E8:E10))/SUM(E4:E6)</f>
        <v>0.22846097759299397</v>
      </c>
      <c r="F32" s="48">
        <f>(SUM(F4:F6)+SUM(F8:F10))/SUM(F4:F6)</f>
        <v>0.18900706376042831</v>
      </c>
      <c r="G32" s="48">
        <f>(SUM(G4:G6)+SUM(G8:G10))/SUM(G4:G6)</f>
        <v>0.14511653111557957</v>
      </c>
    </row>
    <row r="33" spans="2:7" x14ac:dyDescent="0.2">
      <c r="B33" s="38" t="s">
        <v>57</v>
      </c>
      <c r="C33" s="48">
        <f>C15/C7</f>
        <v>-5.8370300241749197E-2</v>
      </c>
      <c r="D33" s="48">
        <f t="shared" ref="D33:G33" si="5">D15/D7</f>
        <v>-0.17711927138364197</v>
      </c>
      <c r="E33" s="48">
        <f t="shared" si="5"/>
        <v>-9.533248801594027E-2</v>
      </c>
      <c r="F33" s="48">
        <f t="shared" si="5"/>
        <v>-0.13879756446921956</v>
      </c>
      <c r="G33" s="48">
        <f t="shared" si="5"/>
        <v>-0.16440007545558741</v>
      </c>
    </row>
    <row r="34" spans="2:7" x14ac:dyDescent="0.2">
      <c r="B34" s="38" t="s">
        <v>64</v>
      </c>
      <c r="C34" s="48">
        <f>C23/C7</f>
        <v>-9.1934731468291842E-2</v>
      </c>
      <c r="D34" s="48">
        <f t="shared" ref="D34:G34" si="6">D23/D7</f>
        <v>-0.21963853411681836</v>
      </c>
      <c r="E34" s="48">
        <f t="shared" si="6"/>
        <v>-9.6414467612896446E-2</v>
      </c>
      <c r="F34" s="48">
        <f t="shared" si="6"/>
        <v>-0.16680343005817538</v>
      </c>
      <c r="G34" s="48">
        <f t="shared" si="6"/>
        <v>-0.19256422428228809</v>
      </c>
    </row>
    <row r="35" spans="2:7" x14ac:dyDescent="0.2">
      <c r="B35" s="38" t="s">
        <v>55</v>
      </c>
      <c r="C35" s="48">
        <f>C23/'Balance Sheet Input'!C17</f>
        <v>-5.0429907933346216E-2</v>
      </c>
      <c r="D35" s="48">
        <f>D23/'Balance Sheet Input'!D17</f>
        <v>-0.11014746145205113</v>
      </c>
      <c r="E35" s="48">
        <f>E23/'Balance Sheet Input'!E17</f>
        <v>-2.9779021214012873E-2</v>
      </c>
      <c r="F35" s="48">
        <f>F23/'Balance Sheet Input'!F17</f>
        <v>-6.8447898704647764E-2</v>
      </c>
      <c r="G35" s="48">
        <f>G23/'Balance Sheet Input'!G17</f>
        <v>-5.1131852382658542E-2</v>
      </c>
    </row>
    <row r="36" spans="2:7" x14ac:dyDescent="0.2">
      <c r="B36" s="38" t="s">
        <v>56</v>
      </c>
      <c r="C36" s="48">
        <f>C23/'Balance Sheet Input'!C31</f>
        <v>-0.32251483476105341</v>
      </c>
      <c r="D36" s="48">
        <f>D23/'Balance Sheet Input'!D31</f>
        <v>-0.82002373341798129</v>
      </c>
      <c r="E36" s="48">
        <f>E23/'Balance Sheet Input'!E31</f>
        <v>-0.1420001342335255</v>
      </c>
      <c r="F36" s="48">
        <f>F23/'Balance Sheet Input'!F31</f>
        <v>-0.46289544000555077</v>
      </c>
      <c r="G36" s="48">
        <f>G23/'Balance Sheet Input'!G31</f>
        <v>-0.32098601043599839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45"/>
  <sheetViews>
    <sheetView topLeftCell="A15" workbookViewId="0">
      <selection activeCell="I41" sqref="I41"/>
    </sheetView>
  </sheetViews>
  <sheetFormatPr defaultColWidth="9.109375" defaultRowHeight="11.4" x14ac:dyDescent="0.25"/>
  <cols>
    <col min="1" max="1" width="2" style="8" customWidth="1"/>
    <col min="2" max="2" width="44.88671875" style="8" bestFit="1" customWidth="1"/>
    <col min="3" max="4" width="12.88671875" style="8" bestFit="1" customWidth="1"/>
    <col min="5" max="5" width="14" style="8" bestFit="1" customWidth="1"/>
    <col min="6" max="7" width="11.44140625" style="8" customWidth="1"/>
    <col min="8" max="8" width="9.109375" style="8"/>
    <col min="9" max="10" width="10.33203125" style="8" bestFit="1" customWidth="1"/>
    <col min="11" max="16384" width="9.109375" style="8"/>
  </cols>
  <sheetData>
    <row r="1" spans="2:7" ht="15.6" x14ac:dyDescent="0.25">
      <c r="B1" s="2" t="s">
        <v>110</v>
      </c>
    </row>
    <row r="3" spans="2:7" ht="24" x14ac:dyDescent="0.25">
      <c r="B3" s="5" t="s">
        <v>37</v>
      </c>
      <c r="C3" s="31" t="s">
        <v>48</v>
      </c>
      <c r="D3" s="31" t="s">
        <v>49</v>
      </c>
      <c r="E3" s="31" t="s">
        <v>50</v>
      </c>
      <c r="F3" s="31" t="s">
        <v>109</v>
      </c>
      <c r="G3" s="34" t="s">
        <v>111</v>
      </c>
    </row>
    <row r="4" spans="2:7" x14ac:dyDescent="0.25">
      <c r="B4" s="8" t="s">
        <v>7</v>
      </c>
      <c r="C4" s="49">
        <v>1905713</v>
      </c>
      <c r="D4" s="49">
        <v>1196908</v>
      </c>
      <c r="E4" s="49">
        <v>3393216</v>
      </c>
      <c r="F4" s="49">
        <v>3367914</v>
      </c>
      <c r="G4" s="50">
        <v>2236424</v>
      </c>
    </row>
    <row r="5" spans="2:7" x14ac:dyDescent="0.25">
      <c r="B5" s="8" t="s">
        <v>39</v>
      </c>
      <c r="C5" s="49">
        <v>17947</v>
      </c>
      <c r="D5" s="49">
        <v>22628</v>
      </c>
      <c r="E5" s="49">
        <v>105519</v>
      </c>
      <c r="F5" s="49">
        <v>155323</v>
      </c>
      <c r="G5" s="50">
        <v>146822</v>
      </c>
    </row>
    <row r="6" spans="2:7" x14ac:dyDescent="0.25">
      <c r="B6" s="8" t="s">
        <v>8</v>
      </c>
      <c r="C6" s="49">
        <v>226604</v>
      </c>
      <c r="D6" s="49">
        <v>168965</v>
      </c>
      <c r="E6" s="49">
        <v>499142</v>
      </c>
      <c r="F6" s="49">
        <v>515381</v>
      </c>
      <c r="G6" s="50">
        <v>569874</v>
      </c>
    </row>
    <row r="7" spans="2:7" x14ac:dyDescent="0.25">
      <c r="B7" s="8" t="s">
        <v>9</v>
      </c>
      <c r="C7" s="49">
        <v>953675</v>
      </c>
      <c r="D7" s="49">
        <v>1277838</v>
      </c>
      <c r="E7" s="49">
        <v>2067454</v>
      </c>
      <c r="F7" s="49">
        <v>2263537</v>
      </c>
      <c r="G7" s="50">
        <v>3324643</v>
      </c>
    </row>
    <row r="8" spans="2:7" x14ac:dyDescent="0.25">
      <c r="B8" s="8" t="s">
        <v>10</v>
      </c>
      <c r="C8" s="49">
        <v>76134</v>
      </c>
      <c r="D8" s="49">
        <v>115667</v>
      </c>
      <c r="E8" s="49">
        <v>194465</v>
      </c>
      <c r="F8" s="49">
        <v>268365</v>
      </c>
      <c r="G8" s="50">
        <v>422034</v>
      </c>
    </row>
    <row r="9" spans="2:7" ht="12" x14ac:dyDescent="0.25">
      <c r="B9" s="9" t="s">
        <v>11</v>
      </c>
      <c r="C9" s="51">
        <f>SUM(C4:C8)</f>
        <v>3180073</v>
      </c>
      <c r="D9" s="51">
        <f>SUM(D4:D8)</f>
        <v>2782006</v>
      </c>
      <c r="E9" s="51">
        <f>SUM(E4:E8)</f>
        <v>6259796</v>
      </c>
      <c r="F9" s="51">
        <f>SUM(F4:F8)</f>
        <v>6570520</v>
      </c>
      <c r="G9" s="52">
        <f>SUM(G4:G8)</f>
        <v>6699797</v>
      </c>
    </row>
    <row r="10" spans="2:7" x14ac:dyDescent="0.25">
      <c r="B10" s="8" t="s">
        <v>12</v>
      </c>
      <c r="C10" s="49">
        <v>766744</v>
      </c>
      <c r="D10" s="49">
        <v>1791403</v>
      </c>
      <c r="E10" s="49">
        <v>3134080</v>
      </c>
      <c r="F10" s="49">
        <v>4116604</v>
      </c>
      <c r="G10" s="50">
        <v>2282047</v>
      </c>
    </row>
    <row r="11" spans="2:7" x14ac:dyDescent="0.25">
      <c r="B11" s="8" t="s">
        <v>13</v>
      </c>
      <c r="C11" s="49">
        <v>0</v>
      </c>
      <c r="D11" s="49">
        <v>0</v>
      </c>
      <c r="E11" s="49">
        <v>5919880</v>
      </c>
      <c r="F11" s="49">
        <v>6347490</v>
      </c>
      <c r="G11" s="50">
        <v>6340031</v>
      </c>
    </row>
    <row r="12" spans="2:7" x14ac:dyDescent="0.25">
      <c r="B12" s="8" t="s">
        <v>14</v>
      </c>
      <c r="C12" s="49">
        <v>1829267</v>
      </c>
      <c r="D12" s="49">
        <v>3403334</v>
      </c>
      <c r="E12" s="49">
        <v>5982957</v>
      </c>
      <c r="F12" s="49">
        <v>10027522</v>
      </c>
      <c r="G12" s="50">
        <v>10969348</v>
      </c>
    </row>
    <row r="13" spans="2:7" x14ac:dyDescent="0.25">
      <c r="B13" s="8" t="s">
        <v>15</v>
      </c>
      <c r="C13" s="49">
        <v>0</v>
      </c>
      <c r="D13" s="49">
        <v>12816</v>
      </c>
      <c r="E13" s="49">
        <v>376145</v>
      </c>
      <c r="F13" s="49">
        <v>361502</v>
      </c>
      <c r="G13" s="50">
        <v>364690</v>
      </c>
    </row>
    <row r="14" spans="2:7" x14ac:dyDescent="0.25">
      <c r="B14" s="8" t="s">
        <v>16</v>
      </c>
      <c r="C14" s="49">
        <v>0</v>
      </c>
      <c r="D14" s="49">
        <v>0</v>
      </c>
      <c r="E14" s="49">
        <v>506302</v>
      </c>
      <c r="F14" s="49">
        <f>456652+60237</f>
        <v>516889</v>
      </c>
      <c r="G14" s="50">
        <v>434841</v>
      </c>
    </row>
    <row r="15" spans="2:7" x14ac:dyDescent="0.25">
      <c r="B15" s="8" t="s">
        <v>17</v>
      </c>
      <c r="C15" s="49">
        <v>11374</v>
      </c>
      <c r="D15" s="49">
        <v>31522</v>
      </c>
      <c r="E15" s="49">
        <v>268165</v>
      </c>
      <c r="F15" s="49">
        <v>441722</v>
      </c>
      <c r="G15" s="50">
        <v>399992</v>
      </c>
    </row>
    <row r="16" spans="2:7" x14ac:dyDescent="0.25">
      <c r="B16" s="8" t="s">
        <v>18</v>
      </c>
      <c r="C16" s="49">
        <v>43209</v>
      </c>
      <c r="D16" s="49">
        <v>46858</v>
      </c>
      <c r="E16" s="49">
        <v>216751</v>
      </c>
      <c r="F16" s="49">
        <v>273123</v>
      </c>
      <c r="G16" s="50">
        <v>419254</v>
      </c>
    </row>
    <row r="17" spans="2:7" ht="12.6" thickBot="1" x14ac:dyDescent="0.3">
      <c r="B17" s="10" t="s">
        <v>19</v>
      </c>
      <c r="C17" s="53">
        <f t="shared" ref="C17:E17" si="0">SUM(C9:C16)</f>
        <v>5830667</v>
      </c>
      <c r="D17" s="53">
        <f t="shared" si="0"/>
        <v>8067939</v>
      </c>
      <c r="E17" s="53">
        <f t="shared" si="0"/>
        <v>22664076</v>
      </c>
      <c r="F17" s="53">
        <f>SUM(F9:F16)</f>
        <v>28655372</v>
      </c>
      <c r="G17" s="54">
        <f>SUM(G9:G16)</f>
        <v>27910000</v>
      </c>
    </row>
    <row r="18" spans="2:7" x14ac:dyDescent="0.25">
      <c r="B18" s="8" t="s">
        <v>20</v>
      </c>
      <c r="C18" s="49">
        <v>777946</v>
      </c>
      <c r="D18" s="49">
        <v>916148</v>
      </c>
      <c r="E18" s="49">
        <v>1860341</v>
      </c>
      <c r="F18" s="49">
        <v>2390250</v>
      </c>
      <c r="G18" s="50">
        <v>3030493</v>
      </c>
    </row>
    <row r="19" spans="2:7" x14ac:dyDescent="0.25">
      <c r="B19" s="8" t="s">
        <v>38</v>
      </c>
      <c r="C19" s="49">
        <v>268883</v>
      </c>
      <c r="D19" s="49">
        <v>422798</v>
      </c>
      <c r="E19" s="49">
        <v>1210028</v>
      </c>
      <c r="F19" s="49">
        <v>1731366</v>
      </c>
      <c r="G19" s="50">
        <v>1814979</v>
      </c>
    </row>
    <row r="20" spans="2:7" x14ac:dyDescent="0.25">
      <c r="B20" s="8" t="s">
        <v>21</v>
      </c>
      <c r="C20" s="49">
        <v>191651</v>
      </c>
      <c r="D20" s="49">
        <v>423961</v>
      </c>
      <c r="E20" s="49">
        <v>763126</v>
      </c>
      <c r="F20" s="49">
        <v>1015253</v>
      </c>
      <c r="G20" s="50">
        <v>576321</v>
      </c>
    </row>
    <row r="21" spans="2:7" x14ac:dyDescent="0.25">
      <c r="B21" s="8" t="s">
        <v>22</v>
      </c>
      <c r="C21" s="49">
        <v>0</v>
      </c>
      <c r="D21" s="49">
        <v>136831</v>
      </c>
      <c r="E21" s="49">
        <v>179504</v>
      </c>
      <c r="F21" s="49">
        <v>787333</v>
      </c>
      <c r="G21" s="50">
        <v>674255</v>
      </c>
    </row>
    <row r="22" spans="2:7" x14ac:dyDescent="0.25">
      <c r="B22" s="8" t="s">
        <v>23</v>
      </c>
      <c r="C22" s="49">
        <v>257587</v>
      </c>
      <c r="D22" s="49">
        <v>283370</v>
      </c>
      <c r="E22" s="49">
        <v>663859</v>
      </c>
      <c r="F22" s="49">
        <v>853919</v>
      </c>
      <c r="G22" s="50">
        <v>942129</v>
      </c>
    </row>
    <row r="23" spans="2:7" x14ac:dyDescent="0.25">
      <c r="B23" s="8" t="s">
        <v>24</v>
      </c>
      <c r="C23" s="49">
        <v>611099</v>
      </c>
      <c r="D23" s="49">
        <v>627927</v>
      </c>
      <c r="E23" s="49">
        <v>984211</v>
      </c>
      <c r="F23" s="49">
        <v>796549</v>
      </c>
      <c r="G23" s="50">
        <v>2103185</v>
      </c>
    </row>
    <row r="24" spans="2:7" x14ac:dyDescent="0.25">
      <c r="B24" s="8" t="s">
        <v>25</v>
      </c>
      <c r="C24" s="49">
        <v>0</v>
      </c>
      <c r="D24" s="49"/>
      <c r="E24" s="49"/>
      <c r="F24" s="42"/>
      <c r="G24" s="43"/>
    </row>
    <row r="25" spans="2:7" x14ac:dyDescent="0.25">
      <c r="B25" s="8" t="s">
        <v>26</v>
      </c>
      <c r="C25" s="49">
        <v>0</v>
      </c>
      <c r="D25" s="49">
        <v>0</v>
      </c>
      <c r="E25" s="49">
        <v>165936</v>
      </c>
      <c r="F25" s="49">
        <v>100000</v>
      </c>
      <c r="G25" s="50">
        <v>0</v>
      </c>
    </row>
    <row r="26" spans="2:7" ht="12" x14ac:dyDescent="0.25">
      <c r="B26" s="9" t="s">
        <v>27</v>
      </c>
      <c r="C26" s="51">
        <v>2107166</v>
      </c>
      <c r="D26" s="51">
        <v>2811035</v>
      </c>
      <c r="E26" s="51">
        <v>5827005</v>
      </c>
      <c r="F26" s="51">
        <f>SUM(F18:F25)</f>
        <v>7674670</v>
      </c>
      <c r="G26" s="52">
        <f>SUM(G18:G25)</f>
        <v>9141362</v>
      </c>
    </row>
    <row r="27" spans="2:7" x14ac:dyDescent="0.25">
      <c r="B27" s="8" t="s">
        <v>28</v>
      </c>
      <c r="C27" s="49"/>
      <c r="D27" s="49"/>
      <c r="E27" s="49"/>
      <c r="F27" s="49"/>
      <c r="G27" s="50"/>
    </row>
    <row r="28" spans="2:7" x14ac:dyDescent="0.25">
      <c r="B28" s="8" t="s">
        <v>16</v>
      </c>
      <c r="C28" s="49">
        <v>1818785</v>
      </c>
      <c r="D28" s="49">
        <v>2021093</v>
      </c>
      <c r="E28" s="49">
        <v>5860049</v>
      </c>
      <c r="F28" s="49">
        <v>9415700</v>
      </c>
      <c r="G28" s="50">
        <v>9513390</v>
      </c>
    </row>
    <row r="29" spans="2:7" x14ac:dyDescent="0.25">
      <c r="B29" s="8" t="s">
        <v>66</v>
      </c>
      <c r="C29" s="42">
        <v>993006</v>
      </c>
      <c r="D29" s="42">
        <v>2152107</v>
      </c>
      <c r="E29" s="42">
        <v>5438936</v>
      </c>
      <c r="F29" s="42">
        <v>6330414</v>
      </c>
      <c r="G29" s="43">
        <f>795820+584857+2607458</f>
        <v>3988135</v>
      </c>
    </row>
    <row r="30" spans="2:7" ht="12" x14ac:dyDescent="0.25">
      <c r="B30" s="33" t="s">
        <v>29</v>
      </c>
      <c r="C30" s="55">
        <f>SUM(C26:C29)</f>
        <v>4918957</v>
      </c>
      <c r="D30" s="55">
        <f>SUM(D26:D29)</f>
        <v>6984235</v>
      </c>
      <c r="E30" s="55">
        <f>SUM(E26:E29)</f>
        <v>17125990</v>
      </c>
      <c r="F30" s="55">
        <f>SUM(F26:F29)</f>
        <v>23420784</v>
      </c>
      <c r="G30" s="56">
        <f>SUM(G26:G29)</f>
        <v>22642887</v>
      </c>
    </row>
    <row r="31" spans="2:7" ht="12" x14ac:dyDescent="0.25">
      <c r="B31" s="33" t="s">
        <v>30</v>
      </c>
      <c r="C31" s="55">
        <v>911710</v>
      </c>
      <c r="D31" s="55">
        <v>1083704</v>
      </c>
      <c r="E31" s="55">
        <v>4752911</v>
      </c>
      <c r="F31" s="55">
        <v>4237242</v>
      </c>
      <c r="G31" s="56">
        <f>3906421+539536</f>
        <v>4445957</v>
      </c>
    </row>
    <row r="32" spans="2:7" x14ac:dyDescent="0.25">
      <c r="B32" s="8" t="s">
        <v>31</v>
      </c>
      <c r="C32" s="49">
        <v>0</v>
      </c>
      <c r="D32" s="49">
        <v>0</v>
      </c>
      <c r="E32" s="49">
        <v>785175</v>
      </c>
      <c r="F32" s="49">
        <v>997346</v>
      </c>
      <c r="G32" s="50">
        <v>821156</v>
      </c>
    </row>
    <row r="33" spans="2:7" ht="12.6" thickBot="1" x14ac:dyDescent="0.3">
      <c r="B33" s="10" t="s">
        <v>32</v>
      </c>
      <c r="C33" s="53">
        <f>C30+C31+C32</f>
        <v>5830667</v>
      </c>
      <c r="D33" s="53">
        <f>D30+D31+D32</f>
        <v>8067939</v>
      </c>
      <c r="E33" s="53">
        <f>E30+E31+E32</f>
        <v>22664076</v>
      </c>
      <c r="F33" s="53">
        <f>F30+F31+F32</f>
        <v>28655372</v>
      </c>
      <c r="G33" s="54">
        <f>G30+G31+G32</f>
        <v>27910000</v>
      </c>
    </row>
    <row r="34" spans="2:7" x14ac:dyDescent="0.25">
      <c r="F34" s="32"/>
    </row>
    <row r="35" spans="2:7" x14ac:dyDescent="0.2">
      <c r="B35" s="37" t="s">
        <v>113</v>
      </c>
      <c r="C35" s="36"/>
      <c r="D35" s="36"/>
      <c r="E35" s="36"/>
      <c r="F35" s="36"/>
      <c r="G35" s="36"/>
    </row>
    <row r="36" spans="2:7" x14ac:dyDescent="0.2">
      <c r="B36" s="37" t="s">
        <v>236</v>
      </c>
      <c r="C36" s="36"/>
      <c r="D36" s="36"/>
      <c r="E36" s="36"/>
      <c r="F36" s="36"/>
      <c r="G36" s="36"/>
    </row>
    <row r="37" spans="2:7" x14ac:dyDescent="0.2">
      <c r="B37" s="35" t="s">
        <v>238</v>
      </c>
      <c r="C37" s="36">
        <f>(C4+C5)/C26</f>
        <v>0.91291336325662054</v>
      </c>
      <c r="D37" s="36">
        <f t="shared" ref="D37:G37" si="1">(D4+D5)/D26</f>
        <v>0.43383878180100921</v>
      </c>
      <c r="E37" s="36">
        <f t="shared" si="1"/>
        <v>0.60043452854425217</v>
      </c>
      <c r="F37" s="36">
        <f t="shared" si="1"/>
        <v>0.45907341944344188</v>
      </c>
      <c r="G37" s="36">
        <f t="shared" si="1"/>
        <v>0.26071016550925341</v>
      </c>
    </row>
    <row r="38" spans="2:7" x14ac:dyDescent="0.2">
      <c r="B38" s="35" t="s">
        <v>239</v>
      </c>
      <c r="C38" s="36">
        <f>C9/C26</f>
        <v>1.5091706111431182</v>
      </c>
      <c r="D38" s="36">
        <f>D9/D26</f>
        <v>0.98967319866170289</v>
      </c>
      <c r="E38" s="36">
        <f>E9/E26</f>
        <v>1.0742733187975642</v>
      </c>
      <c r="F38" s="36">
        <f>F9/F26</f>
        <v>0.8561306219029613</v>
      </c>
      <c r="G38" s="36">
        <f>G9/G26</f>
        <v>0.7329101505880633</v>
      </c>
    </row>
    <row r="39" spans="2:7" x14ac:dyDescent="0.2">
      <c r="B39" s="35" t="s">
        <v>51</v>
      </c>
      <c r="C39" s="36">
        <f>C6/'P&amp;L Input'!C7*360</f>
        <v>25.506053735106413</v>
      </c>
      <c r="D39" s="36">
        <f>D6/'P&amp;L Input'!D7*360</f>
        <v>15.033866572747325</v>
      </c>
      <c r="E39" s="36">
        <f>E6/'P&amp;L Input'!E7*360</f>
        <v>25.66967594325364</v>
      </c>
      <c r="F39" s="36">
        <f>F6/'P&amp;L Input'!F7*360</f>
        <v>15.77864519794662</v>
      </c>
      <c r="G39" s="36">
        <f>G6/'P&amp;L Input'!G7*180</f>
        <v>13.841258823729435</v>
      </c>
    </row>
    <row r="40" spans="2:7" x14ac:dyDescent="0.2">
      <c r="B40" s="35" t="s">
        <v>52</v>
      </c>
      <c r="C40" s="36">
        <f>-C7/SUM('P&amp;L Input'!C8:C10)*360</f>
        <v>148.19580564470351</v>
      </c>
      <c r="D40" s="36">
        <f>-D7/SUM('P&amp;L Input'!D8:D10)*360</f>
        <v>147.32375944829212</v>
      </c>
      <c r="E40" s="36">
        <f>-E7/SUM('P&amp;L Input'!E8:E10)*360</f>
        <v>137.80793667692734</v>
      </c>
      <c r="F40" s="36">
        <f>-F7/SUM('P&amp;L Input'!F8:F10)*360</f>
        <v>85.449953986173199</v>
      </c>
      <c r="G40" s="36">
        <f>-G7/SUM('P&amp;L Input'!G8:G10)*180</f>
        <v>94.457151624032477</v>
      </c>
    </row>
    <row r="41" spans="2:7" x14ac:dyDescent="0.2">
      <c r="B41" s="35" t="s">
        <v>53</v>
      </c>
      <c r="C41" s="36">
        <f>-C18/SUM('P&amp;L Input'!C8:C10)*360</f>
        <v>120.88849368817945</v>
      </c>
      <c r="D41" s="36">
        <f>-D18/SUM('P&amp;L Input'!D8:D10)*360</f>
        <v>105.62400521117225</v>
      </c>
      <c r="E41" s="36">
        <f>-E18/SUM('P&amp;L Input'!E8:E10)*360</f>
        <v>124.00264031291226</v>
      </c>
      <c r="F41" s="36">
        <f>-F18/SUM('P&amp;L Input'!F8:F10)*360</f>
        <v>90.233449912879919</v>
      </c>
      <c r="G41" s="36">
        <f>-G18/SUM('P&amp;L Input'!G8:G10)*180</f>
        <v>86.099992328971581</v>
      </c>
    </row>
    <row r="42" spans="2:7" x14ac:dyDescent="0.2">
      <c r="B42" s="35" t="s">
        <v>54</v>
      </c>
      <c r="C42" s="36">
        <f>C39+C40-C41</f>
        <v>52.813365691630466</v>
      </c>
      <c r="D42" s="36">
        <f>D39+D40-D41</f>
        <v>56.73362080986719</v>
      </c>
      <c r="E42" s="36">
        <f>E39+E40-E41</f>
        <v>39.474972307268729</v>
      </c>
      <c r="F42" s="36">
        <f>F39+F40-F41</f>
        <v>10.995149271239896</v>
      </c>
      <c r="G42" s="36">
        <f>G39+G40-G41</f>
        <v>22.198418118790329</v>
      </c>
    </row>
    <row r="43" spans="2:7" x14ac:dyDescent="0.2">
      <c r="B43" s="37" t="s">
        <v>240</v>
      </c>
      <c r="C43" s="36"/>
      <c r="D43" s="36"/>
      <c r="E43" s="36"/>
      <c r="F43" s="36"/>
      <c r="G43" s="36"/>
    </row>
    <row r="44" spans="2:7" x14ac:dyDescent="0.2">
      <c r="B44" s="35" t="s">
        <v>237</v>
      </c>
      <c r="C44" s="36">
        <f>C17/C30</f>
        <v>1.1853462024571468</v>
      </c>
      <c r="D44" s="36">
        <f t="shared" ref="D44:G44" si="2">D17/D30</f>
        <v>1.1551643093338069</v>
      </c>
      <c r="E44" s="36">
        <f t="shared" si="2"/>
        <v>1.3233731889368148</v>
      </c>
      <c r="F44" s="36">
        <f t="shared" si="2"/>
        <v>1.2235018264119595</v>
      </c>
      <c r="G44" s="36">
        <f t="shared" si="2"/>
        <v>1.23261667118685</v>
      </c>
    </row>
    <row r="45" spans="2:7" x14ac:dyDescent="0.2">
      <c r="B45" s="35" t="s">
        <v>241</v>
      </c>
      <c r="C45" s="135" t="s">
        <v>242</v>
      </c>
      <c r="D45" s="135" t="s">
        <v>242</v>
      </c>
      <c r="E45" s="135" t="s">
        <v>242</v>
      </c>
      <c r="F45" s="135" t="s">
        <v>242</v>
      </c>
      <c r="G45" s="135" t="s">
        <v>242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AE883-0D4D-4DA8-ABAA-F07CB55B280E}">
  <sheetPr>
    <tabColor rgb="FFC00000"/>
  </sheetPr>
  <dimension ref="B14:G29"/>
  <sheetViews>
    <sheetView workbookViewId="0">
      <selection activeCell="G29" sqref="G29"/>
    </sheetView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195</v>
      </c>
    </row>
    <row r="29" spans="7:7" x14ac:dyDescent="0.25">
      <c r="G29" s="1" t="s">
        <v>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973E8-D4EE-442D-98FE-72A55CFF9E96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B5A35-43D7-48CF-8D07-FCB5D996320B}">
  <dimension ref="A1:S27"/>
  <sheetViews>
    <sheetView workbookViewId="0">
      <selection activeCell="I16" sqref="I16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122</v>
      </c>
    </row>
    <row r="2" spans="1:19" ht="15.6" x14ac:dyDescent="0.25">
      <c r="A2" s="1"/>
      <c r="B2" s="2"/>
    </row>
    <row r="3" spans="1:19" ht="12" x14ac:dyDescent="0.25">
      <c r="C3" s="136" t="s">
        <v>124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4" spans="1:19" ht="24" x14ac:dyDescent="0.25">
      <c r="B4" s="30" t="s">
        <v>114</v>
      </c>
      <c r="C4" s="6" t="s">
        <v>45</v>
      </c>
      <c r="D4" s="6" t="s">
        <v>46</v>
      </c>
      <c r="E4" s="6" t="s">
        <v>47</v>
      </c>
      <c r="F4" s="6" t="s">
        <v>107</v>
      </c>
      <c r="G4" s="6" t="s">
        <v>115</v>
      </c>
      <c r="H4" s="67" t="s">
        <v>126</v>
      </c>
      <c r="I4" s="67" t="s">
        <v>125</v>
      </c>
      <c r="J4" s="67" t="s">
        <v>127</v>
      </c>
      <c r="K4" s="67" t="s">
        <v>128</v>
      </c>
      <c r="L4" s="67" t="s">
        <v>129</v>
      </c>
      <c r="M4" s="67" t="s">
        <v>130</v>
      </c>
      <c r="N4" s="67" t="s">
        <v>131</v>
      </c>
      <c r="O4" s="67" t="s">
        <v>204</v>
      </c>
      <c r="P4" s="67" t="s">
        <v>205</v>
      </c>
      <c r="Q4" s="67" t="s">
        <v>206</v>
      </c>
      <c r="R4" s="67" t="s">
        <v>207</v>
      </c>
      <c r="S4" s="67" t="s">
        <v>208</v>
      </c>
    </row>
    <row r="5" spans="1:19" x14ac:dyDescent="0.25">
      <c r="B5" s="8" t="s">
        <v>117</v>
      </c>
      <c r="C5" s="42">
        <v>0</v>
      </c>
      <c r="D5" s="42">
        <v>0</v>
      </c>
      <c r="E5" s="42">
        <v>0</v>
      </c>
      <c r="F5" s="42">
        <v>1764</v>
      </c>
      <c r="G5" s="42">
        <v>26620</v>
      </c>
      <c r="H5" s="43">
        <f>26*4000</f>
        <v>104000</v>
      </c>
      <c r="I5" s="43">
        <f>G5+H5</f>
        <v>130620</v>
      </c>
      <c r="J5" s="43">
        <f>52*5000</f>
        <v>260000</v>
      </c>
      <c r="K5" s="43">
        <f>52*8000</f>
        <v>416000</v>
      </c>
      <c r="L5" s="43">
        <f>K5*(1+L15)</f>
        <v>457600.00000000006</v>
      </c>
      <c r="M5" s="43">
        <f>L5*(1+M15)</f>
        <v>503360.00000000012</v>
      </c>
      <c r="N5" s="43">
        <f>M5*(1+N15)</f>
        <v>528528.00000000012</v>
      </c>
      <c r="O5" s="43">
        <f t="shared" ref="O5:S5" si="0">N5*(1+O15)</f>
        <v>554954.40000000014</v>
      </c>
      <c r="P5" s="43">
        <f t="shared" si="0"/>
        <v>566053.48800000013</v>
      </c>
      <c r="Q5" s="43">
        <f t="shared" si="0"/>
        <v>577374.55776000011</v>
      </c>
      <c r="R5" s="43">
        <f t="shared" si="0"/>
        <v>588922.04891520017</v>
      </c>
      <c r="S5" s="43">
        <f t="shared" si="0"/>
        <v>600700.48989350419</v>
      </c>
    </row>
    <row r="6" spans="1:19" x14ac:dyDescent="0.25">
      <c r="B6" s="8" t="s">
        <v>123</v>
      </c>
      <c r="C6" s="42">
        <v>33600</v>
      </c>
      <c r="D6" s="42">
        <v>50580</v>
      </c>
      <c r="E6" s="42">
        <v>76230</v>
      </c>
      <c r="F6" s="42">
        <v>101312</v>
      </c>
      <c r="G6" s="42">
        <f>22660+21440</f>
        <v>44100</v>
      </c>
      <c r="H6" s="43">
        <v>55900</v>
      </c>
      <c r="I6" s="43">
        <f t="shared" ref="I6:I10" si="1">G6+H6</f>
        <v>100000</v>
      </c>
      <c r="J6" s="43">
        <f>I6*(1+J16)</f>
        <v>102000</v>
      </c>
      <c r="K6" s="43">
        <f>J6*(1+K16)</f>
        <v>104040</v>
      </c>
      <c r="L6" s="43">
        <f>K6*(1+L16)</f>
        <v>106120.8</v>
      </c>
      <c r="M6" s="43">
        <f t="shared" ref="M6:S6" si="2">L6*(1+M16)</f>
        <v>108243.216</v>
      </c>
      <c r="N6" s="43">
        <f t="shared" si="2"/>
        <v>110408.08032000001</v>
      </c>
      <c r="O6" s="43">
        <f t="shared" si="2"/>
        <v>112616.24192640001</v>
      </c>
      <c r="P6" s="43">
        <f t="shared" si="2"/>
        <v>114868.56676492801</v>
      </c>
      <c r="Q6" s="43">
        <f t="shared" si="2"/>
        <v>117165.93810022657</v>
      </c>
      <c r="R6" s="43">
        <f t="shared" si="2"/>
        <v>119509.25686223111</v>
      </c>
      <c r="S6" s="43">
        <f t="shared" si="2"/>
        <v>121899.44199947573</v>
      </c>
    </row>
    <row r="7" spans="1:19" x14ac:dyDescent="0.25">
      <c r="B7" s="8" t="s">
        <v>118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3">
        <v>0</v>
      </c>
      <c r="I7" s="43">
        <f t="shared" si="1"/>
        <v>0</v>
      </c>
      <c r="J7" s="43">
        <f>F5</f>
        <v>1764</v>
      </c>
      <c r="K7" s="43">
        <f>J7*(1+K17)</f>
        <v>130620</v>
      </c>
      <c r="L7" s="43">
        <f>K7*(1+L17)</f>
        <v>260000</v>
      </c>
      <c r="M7" s="43">
        <f t="shared" ref="M7:S7" si="3">L7*(1+M17)</f>
        <v>416000</v>
      </c>
      <c r="N7" s="43">
        <f t="shared" si="3"/>
        <v>457600.00000000006</v>
      </c>
      <c r="O7" s="43">
        <f t="shared" si="3"/>
        <v>503360.00000000012</v>
      </c>
      <c r="P7" s="43">
        <f t="shared" si="3"/>
        <v>528528.00000000012</v>
      </c>
      <c r="Q7" s="43">
        <f t="shared" si="3"/>
        <v>554954.40000000014</v>
      </c>
      <c r="R7" s="43">
        <f t="shared" si="3"/>
        <v>566053.48800000013</v>
      </c>
      <c r="S7" s="43">
        <f t="shared" si="3"/>
        <v>577374.55776000011</v>
      </c>
    </row>
    <row r="8" spans="1:19" x14ac:dyDescent="0.25">
      <c r="B8" s="8" t="s">
        <v>120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3">
        <v>0</v>
      </c>
      <c r="I8" s="43">
        <f t="shared" si="1"/>
        <v>0</v>
      </c>
      <c r="J8" s="43">
        <v>0</v>
      </c>
      <c r="K8" s="43">
        <v>500</v>
      </c>
      <c r="L8" s="43">
        <f t="shared" ref="L8:S8" si="4">K8*(1+L18)</f>
        <v>1000</v>
      </c>
      <c r="M8" s="43">
        <f t="shared" si="4"/>
        <v>1500</v>
      </c>
      <c r="N8" s="43">
        <f t="shared" si="4"/>
        <v>1650.0000000000002</v>
      </c>
      <c r="O8" s="43">
        <f t="shared" si="4"/>
        <v>1815.0000000000005</v>
      </c>
      <c r="P8" s="43">
        <f t="shared" si="4"/>
        <v>1905.7500000000005</v>
      </c>
      <c r="Q8" s="43">
        <f t="shared" si="4"/>
        <v>2001.0375000000006</v>
      </c>
      <c r="R8" s="43">
        <f t="shared" si="4"/>
        <v>2041.0582500000007</v>
      </c>
      <c r="S8" s="43">
        <f t="shared" si="4"/>
        <v>2081.8794150000008</v>
      </c>
    </row>
    <row r="9" spans="1:19" x14ac:dyDescent="0.25">
      <c r="B9" s="8" t="s">
        <v>119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3">
        <v>0</v>
      </c>
      <c r="I9" s="43">
        <f t="shared" si="1"/>
        <v>0</v>
      </c>
      <c r="J9" s="43">
        <v>250</v>
      </c>
      <c r="K9" s="43">
        <f>J9*(1+K19)</f>
        <v>18511.904761904763</v>
      </c>
      <c r="L9" s="43">
        <f t="shared" ref="L9:S9" si="5">K9*(1+L19)</f>
        <v>36848.072562358284</v>
      </c>
      <c r="M9" s="43">
        <f t="shared" si="5"/>
        <v>58956.916099773254</v>
      </c>
      <c r="N9" s="43">
        <f t="shared" si="5"/>
        <v>64852.607709750584</v>
      </c>
      <c r="O9" s="43">
        <f t="shared" si="5"/>
        <v>71337.86848072565</v>
      </c>
      <c r="P9" s="43">
        <f t="shared" si="5"/>
        <v>74904.761904761937</v>
      </c>
      <c r="Q9" s="43">
        <f t="shared" si="5"/>
        <v>78650.000000000044</v>
      </c>
      <c r="R9" s="43">
        <f t="shared" si="5"/>
        <v>80223.000000000044</v>
      </c>
      <c r="S9" s="43">
        <f t="shared" si="5"/>
        <v>81827.46000000005</v>
      </c>
    </row>
    <row r="10" spans="1:19" x14ac:dyDescent="0.25">
      <c r="B10" s="8" t="s">
        <v>116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3">
        <v>0</v>
      </c>
      <c r="I10" s="43">
        <f t="shared" si="1"/>
        <v>0</v>
      </c>
      <c r="J10" s="43">
        <v>250</v>
      </c>
      <c r="K10" s="43">
        <f>J10*(1+K20)</f>
        <v>18511.904761904763</v>
      </c>
      <c r="L10" s="43">
        <f t="shared" ref="L10:S10" si="6">K10*(1+L20)</f>
        <v>36848.072562358284</v>
      </c>
      <c r="M10" s="43">
        <f t="shared" si="6"/>
        <v>58956.916099773254</v>
      </c>
      <c r="N10" s="43">
        <f t="shared" si="6"/>
        <v>64852.607709750584</v>
      </c>
      <c r="O10" s="43">
        <f t="shared" si="6"/>
        <v>71337.86848072565</v>
      </c>
      <c r="P10" s="43">
        <f t="shared" si="6"/>
        <v>74904.761904761937</v>
      </c>
      <c r="Q10" s="43">
        <f t="shared" si="6"/>
        <v>78650.000000000044</v>
      </c>
      <c r="R10" s="43">
        <f t="shared" si="6"/>
        <v>80223.000000000044</v>
      </c>
      <c r="S10" s="43">
        <f t="shared" si="6"/>
        <v>81827.46000000005</v>
      </c>
    </row>
    <row r="11" spans="1:19" ht="12.6" thickBot="1" x14ac:dyDescent="0.3">
      <c r="B11" s="85" t="s">
        <v>69</v>
      </c>
      <c r="C11" s="96">
        <f>SUM(C5:C10)</f>
        <v>33600</v>
      </c>
      <c r="D11" s="96">
        <f t="shared" ref="D11:S11" si="7">SUM(D5:D10)</f>
        <v>50580</v>
      </c>
      <c r="E11" s="96">
        <f t="shared" si="7"/>
        <v>76230</v>
      </c>
      <c r="F11" s="96">
        <f t="shared" si="7"/>
        <v>103076</v>
      </c>
      <c r="G11" s="96">
        <f t="shared" si="7"/>
        <v>70720</v>
      </c>
      <c r="H11" s="96">
        <f t="shared" si="7"/>
        <v>159900</v>
      </c>
      <c r="I11" s="96">
        <f t="shared" si="7"/>
        <v>230620</v>
      </c>
      <c r="J11" s="96">
        <f t="shared" si="7"/>
        <v>364264</v>
      </c>
      <c r="K11" s="96">
        <f t="shared" si="7"/>
        <v>688183.80952380947</v>
      </c>
      <c r="L11" s="96">
        <f t="shared" si="7"/>
        <v>898416.94512471673</v>
      </c>
      <c r="M11" s="96">
        <f t="shared" si="7"/>
        <v>1147017.0481995465</v>
      </c>
      <c r="N11" s="96">
        <f t="shared" si="7"/>
        <v>1227891.2957395012</v>
      </c>
      <c r="O11" s="96">
        <f t="shared" si="7"/>
        <v>1315421.3788878517</v>
      </c>
      <c r="P11" s="96">
        <f t="shared" si="7"/>
        <v>1361165.3285744521</v>
      </c>
      <c r="Q11" s="96">
        <f t="shared" si="7"/>
        <v>1408795.9333602269</v>
      </c>
      <c r="R11" s="96">
        <f t="shared" si="7"/>
        <v>1436971.8520274314</v>
      </c>
      <c r="S11" s="96">
        <f t="shared" si="7"/>
        <v>1465711.2890679801</v>
      </c>
    </row>
    <row r="12" spans="1:19" ht="3" customHeight="1" x14ac:dyDescent="0.25"/>
    <row r="13" spans="1:19" x14ac:dyDescent="0.25">
      <c r="B13" s="60" t="s">
        <v>132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</row>
    <row r="14" spans="1:19" ht="3" customHeight="1" x14ac:dyDescent="0.25">
      <c r="B14" s="60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</row>
    <row r="15" spans="1:19" x14ac:dyDescent="0.25">
      <c r="B15" s="61" t="s">
        <v>117</v>
      </c>
      <c r="C15" s="64" t="s">
        <v>65</v>
      </c>
      <c r="D15" s="64" t="s">
        <v>65</v>
      </c>
      <c r="E15" s="64" t="s">
        <v>65</v>
      </c>
      <c r="F15" s="64" t="s">
        <v>65</v>
      </c>
      <c r="G15" s="61"/>
      <c r="H15" s="61"/>
      <c r="I15" s="63">
        <f>(I5/F5-1)</f>
        <v>73.047619047619051</v>
      </c>
      <c r="J15" s="63">
        <f>J5/I5-1</f>
        <v>0.99050681365793913</v>
      </c>
      <c r="K15" s="63">
        <f>K5/J5-1</f>
        <v>0.60000000000000009</v>
      </c>
      <c r="L15" s="63">
        <f>$C$25</f>
        <v>0.1</v>
      </c>
      <c r="M15" s="63">
        <f>$C$25</f>
        <v>0.1</v>
      </c>
      <c r="N15" s="63">
        <f>$C$26</f>
        <v>0.05</v>
      </c>
      <c r="O15" s="63">
        <f>$C$26</f>
        <v>0.05</v>
      </c>
      <c r="P15" s="63">
        <f>$C$27</f>
        <v>0.02</v>
      </c>
      <c r="Q15" s="63">
        <f t="shared" ref="Q15:S16" si="8">$C$27</f>
        <v>0.02</v>
      </c>
      <c r="R15" s="63">
        <f t="shared" si="8"/>
        <v>0.02</v>
      </c>
      <c r="S15" s="63">
        <f t="shared" si="8"/>
        <v>0.02</v>
      </c>
    </row>
    <row r="16" spans="1:19" x14ac:dyDescent="0.25">
      <c r="B16" s="61" t="s">
        <v>123</v>
      </c>
      <c r="C16" s="64" t="s">
        <v>65</v>
      </c>
      <c r="D16" s="48">
        <f>D6/C6-1</f>
        <v>0.50535714285714284</v>
      </c>
      <c r="E16" s="48">
        <f>E6/D6-1</f>
        <v>0.50711743772241991</v>
      </c>
      <c r="F16" s="48">
        <f>F6/E6-1</f>
        <v>0.32903056539420183</v>
      </c>
      <c r="G16" s="61"/>
      <c r="H16" s="61"/>
      <c r="I16" s="63">
        <f>(I6/F6-1)</f>
        <v>-1.2950094756790875E-2</v>
      </c>
      <c r="J16" s="66">
        <f>$C$27</f>
        <v>0.02</v>
      </c>
      <c r="K16" s="66">
        <f t="shared" ref="K16:P16" si="9">$C$27</f>
        <v>0.02</v>
      </c>
      <c r="L16" s="66">
        <f t="shared" si="9"/>
        <v>0.02</v>
      </c>
      <c r="M16" s="66">
        <f t="shared" si="9"/>
        <v>0.02</v>
      </c>
      <c r="N16" s="66">
        <f t="shared" si="9"/>
        <v>0.02</v>
      </c>
      <c r="O16" s="66">
        <f t="shared" si="9"/>
        <v>0.02</v>
      </c>
      <c r="P16" s="66">
        <f t="shared" si="9"/>
        <v>0.02</v>
      </c>
      <c r="Q16" s="66">
        <f t="shared" si="8"/>
        <v>0.02</v>
      </c>
      <c r="R16" s="66">
        <f t="shared" si="8"/>
        <v>0.02</v>
      </c>
      <c r="S16" s="66">
        <f t="shared" si="8"/>
        <v>0.02</v>
      </c>
    </row>
    <row r="17" spans="2:19" x14ac:dyDescent="0.25">
      <c r="B17" s="61" t="s">
        <v>118</v>
      </c>
      <c r="C17" s="64" t="s">
        <v>65</v>
      </c>
      <c r="D17" s="64" t="s">
        <v>65</v>
      </c>
      <c r="E17" s="64" t="s">
        <v>65</v>
      </c>
      <c r="F17" s="64" t="s">
        <v>65</v>
      </c>
      <c r="G17" s="61"/>
      <c r="H17" s="61"/>
      <c r="I17" s="63" t="s">
        <v>65</v>
      </c>
      <c r="J17" s="63" t="s">
        <v>65</v>
      </c>
      <c r="K17" s="66">
        <f>I15</f>
        <v>73.047619047619051</v>
      </c>
      <c r="L17" s="66">
        <f t="shared" ref="L17:M17" si="10">J15</f>
        <v>0.99050681365793913</v>
      </c>
      <c r="M17" s="66">
        <f t="shared" si="10"/>
        <v>0.60000000000000009</v>
      </c>
      <c r="N17" s="66">
        <f>$C$25</f>
        <v>0.1</v>
      </c>
      <c r="O17" s="66">
        <f>$C$25</f>
        <v>0.1</v>
      </c>
      <c r="P17" s="66">
        <f t="shared" ref="P17:Q20" si="11">$C$26</f>
        <v>0.05</v>
      </c>
      <c r="Q17" s="66">
        <f t="shared" si="11"/>
        <v>0.05</v>
      </c>
      <c r="R17" s="66">
        <f t="shared" ref="R17:S20" si="12">$C$27</f>
        <v>0.02</v>
      </c>
      <c r="S17" s="66">
        <f t="shared" si="12"/>
        <v>0.02</v>
      </c>
    </row>
    <row r="18" spans="2:19" x14ac:dyDescent="0.25">
      <c r="B18" s="61" t="s">
        <v>120</v>
      </c>
      <c r="C18" s="64" t="s">
        <v>65</v>
      </c>
      <c r="D18" s="64" t="s">
        <v>65</v>
      </c>
      <c r="E18" s="64" t="s">
        <v>65</v>
      </c>
      <c r="F18" s="64" t="s">
        <v>65</v>
      </c>
      <c r="G18" s="61"/>
      <c r="H18" s="61"/>
      <c r="I18" s="63" t="s">
        <v>65</v>
      </c>
      <c r="J18" s="63" t="s">
        <v>65</v>
      </c>
      <c r="K18" s="63" t="s">
        <v>65</v>
      </c>
      <c r="L18" s="66">
        <v>1</v>
      </c>
      <c r="M18" s="66">
        <v>0.5</v>
      </c>
      <c r="N18" s="66">
        <f>$C$25</f>
        <v>0.1</v>
      </c>
      <c r="O18" s="66">
        <f>$C$25</f>
        <v>0.1</v>
      </c>
      <c r="P18" s="66">
        <f t="shared" si="11"/>
        <v>0.05</v>
      </c>
      <c r="Q18" s="66">
        <f t="shared" si="11"/>
        <v>0.05</v>
      </c>
      <c r="R18" s="66">
        <f t="shared" si="12"/>
        <v>0.02</v>
      </c>
      <c r="S18" s="66">
        <f t="shared" si="12"/>
        <v>0.02</v>
      </c>
    </row>
    <row r="19" spans="2:19" x14ac:dyDescent="0.25">
      <c r="B19" s="61" t="s">
        <v>119</v>
      </c>
      <c r="C19" s="64" t="s">
        <v>65</v>
      </c>
      <c r="D19" s="64" t="s">
        <v>65</v>
      </c>
      <c r="E19" s="64" t="s">
        <v>65</v>
      </c>
      <c r="F19" s="64" t="s">
        <v>65</v>
      </c>
      <c r="G19" s="61"/>
      <c r="H19" s="61"/>
      <c r="I19" s="63" t="s">
        <v>65</v>
      </c>
      <c r="J19" s="63" t="s">
        <v>65</v>
      </c>
      <c r="K19" s="66">
        <f>I15</f>
        <v>73.047619047619051</v>
      </c>
      <c r="L19" s="66">
        <f t="shared" ref="L19:N19" si="13">J15</f>
        <v>0.99050681365793913</v>
      </c>
      <c r="M19" s="66">
        <f t="shared" si="13"/>
        <v>0.60000000000000009</v>
      </c>
      <c r="N19" s="66">
        <f t="shared" si="13"/>
        <v>0.1</v>
      </c>
      <c r="O19" s="66">
        <f>$C$25</f>
        <v>0.1</v>
      </c>
      <c r="P19" s="66">
        <f t="shared" si="11"/>
        <v>0.05</v>
      </c>
      <c r="Q19" s="66">
        <f t="shared" si="11"/>
        <v>0.05</v>
      </c>
      <c r="R19" s="66">
        <f t="shared" si="12"/>
        <v>0.02</v>
      </c>
      <c r="S19" s="66">
        <f t="shared" si="12"/>
        <v>0.02</v>
      </c>
    </row>
    <row r="20" spans="2:19" x14ac:dyDescent="0.25">
      <c r="B20" s="61" t="s">
        <v>116</v>
      </c>
      <c r="C20" s="64" t="s">
        <v>65</v>
      </c>
      <c r="D20" s="64" t="s">
        <v>65</v>
      </c>
      <c r="E20" s="64" t="s">
        <v>65</v>
      </c>
      <c r="F20" s="64" t="s">
        <v>65</v>
      </c>
      <c r="G20" s="61"/>
      <c r="H20" s="61"/>
      <c r="I20" s="63" t="s">
        <v>65</v>
      </c>
      <c r="J20" s="63" t="s">
        <v>65</v>
      </c>
      <c r="K20" s="66">
        <v>73.047619047619051</v>
      </c>
      <c r="L20" s="66">
        <v>0.99050681365793913</v>
      </c>
      <c r="M20" s="66">
        <v>0.60000000000000009</v>
      </c>
      <c r="N20" s="66">
        <f>$C$25</f>
        <v>0.1</v>
      </c>
      <c r="O20" s="66">
        <f>$C$25</f>
        <v>0.1</v>
      </c>
      <c r="P20" s="66">
        <f t="shared" si="11"/>
        <v>0.05</v>
      </c>
      <c r="Q20" s="66">
        <f t="shared" si="11"/>
        <v>0.05</v>
      </c>
      <c r="R20" s="66">
        <f t="shared" si="12"/>
        <v>0.02</v>
      </c>
      <c r="S20" s="66">
        <f t="shared" si="12"/>
        <v>0.02</v>
      </c>
    </row>
    <row r="21" spans="2:19" x14ac:dyDescent="0.25">
      <c r="B21" s="61"/>
      <c r="C21" s="64"/>
      <c r="D21" s="64"/>
      <c r="E21" s="64"/>
      <c r="F21" s="64"/>
      <c r="G21" s="61"/>
      <c r="H21" s="61"/>
      <c r="I21" s="64"/>
      <c r="J21" s="64"/>
      <c r="K21" s="62"/>
      <c r="L21" s="62"/>
      <c r="M21" s="62"/>
      <c r="N21" s="62"/>
      <c r="O21" s="62"/>
      <c r="P21" s="62"/>
      <c r="Q21" s="62"/>
      <c r="R21" s="62"/>
      <c r="S21" s="62"/>
    </row>
    <row r="24" spans="2:19" x14ac:dyDescent="0.25">
      <c r="B24" s="8" t="s">
        <v>201</v>
      </c>
    </row>
    <row r="25" spans="2:19" x14ac:dyDescent="0.25">
      <c r="B25" s="8" t="s">
        <v>202</v>
      </c>
      <c r="C25" s="28">
        <v>0.1</v>
      </c>
    </row>
    <row r="26" spans="2:19" x14ac:dyDescent="0.25">
      <c r="B26" s="8" t="s">
        <v>202</v>
      </c>
      <c r="C26" s="28">
        <v>0.05</v>
      </c>
    </row>
    <row r="27" spans="2:19" x14ac:dyDescent="0.25">
      <c r="B27" s="8" t="s">
        <v>203</v>
      </c>
      <c r="C27" s="28">
        <v>0.02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E07D8-2EE7-44FE-8CF5-9BBCEA245865}">
  <dimension ref="I1:K1"/>
  <sheetViews>
    <sheetView workbookViewId="0"/>
  </sheetViews>
  <sheetFormatPr defaultColWidth="9.109375" defaultRowHeight="11.4" outlineLevelCol="1" x14ac:dyDescent="0.25"/>
  <cols>
    <col min="1" max="1" width="2" style="8" customWidth="1"/>
    <col min="2" max="3" width="15.109375" style="8" customWidth="1"/>
    <col min="4" max="4" width="2" style="8" customWidth="1"/>
    <col min="5" max="6" width="11.33203125" style="8" bestFit="1" customWidth="1"/>
    <col min="7" max="7" width="9.109375" style="8"/>
    <col min="8" max="8" width="11.44140625" style="8" bestFit="1" customWidth="1"/>
    <col min="9" max="10" width="10.33203125" style="8" hidden="1" customWidth="1" outlineLevel="1"/>
    <col min="11" max="11" width="10.33203125" style="8" bestFit="1" customWidth="1" collapsed="1"/>
    <col min="12" max="12" width="10.33203125" style="8" bestFit="1" customWidth="1"/>
    <col min="13" max="17" width="10.44140625" style="8" bestFit="1" customWidth="1"/>
    <col min="18" max="16384" width="9.109375" style="8"/>
  </cols>
  <sheetData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735C4-A3CF-4014-9C0F-0FC78BC8706D}">
  <dimension ref="A1:F19"/>
  <sheetViews>
    <sheetView workbookViewId="0">
      <selection activeCell="D1" sqref="D1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4" width="11.6640625" style="8" customWidth="1"/>
    <col min="5" max="6" width="9.109375" style="8"/>
    <col min="7" max="7" width="2" style="8" customWidth="1"/>
    <col min="8" max="16384" width="9.109375" style="8"/>
  </cols>
  <sheetData>
    <row r="1" spans="1:6" ht="15.6" x14ac:dyDescent="0.25">
      <c r="A1" s="1"/>
      <c r="B1" s="2" t="s">
        <v>209</v>
      </c>
    </row>
    <row r="2" spans="1:6" ht="15.6" x14ac:dyDescent="0.25">
      <c r="A2" s="1"/>
      <c r="B2" s="2"/>
    </row>
    <row r="3" spans="1:6" x14ac:dyDescent="0.25">
      <c r="B3" s="133" t="s">
        <v>142</v>
      </c>
    </row>
    <row r="5" spans="1:6" x14ac:dyDescent="0.25">
      <c r="F5" s="8" t="s">
        <v>144</v>
      </c>
    </row>
    <row r="6" spans="1:6" ht="12" x14ac:dyDescent="0.25">
      <c r="B6" s="30" t="s">
        <v>114</v>
      </c>
      <c r="C6" s="31" t="s">
        <v>141</v>
      </c>
      <c r="D6" s="31" t="s">
        <v>177</v>
      </c>
    </row>
    <row r="7" spans="1:6" x14ac:dyDescent="0.25">
      <c r="B7" s="8" t="s">
        <v>166</v>
      </c>
      <c r="C7" s="13">
        <v>9600340</v>
      </c>
      <c r="D7" s="13">
        <v>9600340</v>
      </c>
    </row>
    <row r="8" spans="1:6" x14ac:dyDescent="0.25">
      <c r="B8" s="8" t="s">
        <v>167</v>
      </c>
      <c r="C8" s="13">
        <f>(119+373+1566+1582+2967)*1000</f>
        <v>6607000</v>
      </c>
      <c r="D8" s="13">
        <f>(119+373+1566+1582+2967)*1000</f>
        <v>6607000</v>
      </c>
    </row>
    <row r="9" spans="1:6" x14ac:dyDescent="0.25">
      <c r="B9" s="8" t="s">
        <v>168</v>
      </c>
      <c r="C9" s="13">
        <v>4740000</v>
      </c>
      <c r="D9" s="13">
        <v>4740000</v>
      </c>
    </row>
    <row r="10" spans="1:6" x14ac:dyDescent="0.25">
      <c r="B10" s="8" t="s">
        <v>169</v>
      </c>
      <c r="C10" s="13">
        <v>2460000</v>
      </c>
      <c r="D10" s="13">
        <v>2460000</v>
      </c>
    </row>
    <row r="11" spans="1:6" x14ac:dyDescent="0.25">
      <c r="B11" s="8" t="s">
        <v>170</v>
      </c>
      <c r="C11" s="13">
        <v>10700000</v>
      </c>
      <c r="D11" s="13">
        <v>10700000</v>
      </c>
    </row>
    <row r="12" spans="1:6" x14ac:dyDescent="0.25">
      <c r="B12" s="98" t="s">
        <v>171</v>
      </c>
      <c r="C12" s="129" t="s">
        <v>65</v>
      </c>
      <c r="D12" s="129" t="s">
        <v>65</v>
      </c>
    </row>
    <row r="13" spans="1:6" x14ac:dyDescent="0.25">
      <c r="B13" s="98" t="s">
        <v>172</v>
      </c>
      <c r="C13" s="129" t="s">
        <v>65</v>
      </c>
      <c r="D13" s="129" t="s">
        <v>65</v>
      </c>
    </row>
    <row r="14" spans="1:6" x14ac:dyDescent="0.25">
      <c r="B14" s="98" t="s">
        <v>173</v>
      </c>
      <c r="C14" s="129" t="s">
        <v>65</v>
      </c>
      <c r="D14" s="129" t="s">
        <v>65</v>
      </c>
    </row>
    <row r="15" spans="1:6" x14ac:dyDescent="0.25">
      <c r="B15" s="98" t="s">
        <v>174</v>
      </c>
      <c r="C15" s="129" t="s">
        <v>65</v>
      </c>
      <c r="D15" s="129" t="s">
        <v>65</v>
      </c>
    </row>
    <row r="16" spans="1:6" x14ac:dyDescent="0.25">
      <c r="B16" s="98" t="s">
        <v>175</v>
      </c>
      <c r="C16" s="129" t="s">
        <v>65</v>
      </c>
      <c r="D16" s="129" t="s">
        <v>65</v>
      </c>
    </row>
    <row r="17" spans="2:4" x14ac:dyDescent="0.25">
      <c r="B17" s="98" t="s">
        <v>176</v>
      </c>
      <c r="C17" s="129" t="s">
        <v>65</v>
      </c>
      <c r="D17" s="129" t="s">
        <v>65</v>
      </c>
    </row>
    <row r="18" spans="2:4" ht="12" x14ac:dyDescent="0.25">
      <c r="B18" s="9" t="s">
        <v>141</v>
      </c>
      <c r="C18" s="131" t="s">
        <v>65</v>
      </c>
      <c r="D18" s="124">
        <f>AVERAGE(D7:D17)</f>
        <v>6821468</v>
      </c>
    </row>
    <row r="19" spans="2:4" x14ac:dyDescent="0.25">
      <c r="C19" s="130"/>
      <c r="D19" s="130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33312-7F7F-4DE3-86D6-6BD35A28CEEA}">
  <dimension ref="A1:T44"/>
  <sheetViews>
    <sheetView workbookViewId="0">
      <selection activeCell="J21" sqref="J21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6" width="9.77734375" style="8" customWidth="1"/>
    <col min="7" max="8" width="9.77734375" style="8" customWidth="1" outlineLevel="1"/>
    <col min="9" max="19" width="9.77734375" style="8" customWidth="1"/>
    <col min="20" max="20" width="15.109375" style="8" customWidth="1"/>
    <col min="21" max="16384" width="9.109375" style="8"/>
  </cols>
  <sheetData>
    <row r="1" spans="1:20" ht="15.6" x14ac:dyDescent="0.25">
      <c r="A1" s="1"/>
      <c r="B1" s="2" t="s">
        <v>155</v>
      </c>
      <c r="T1" s="8" t="s">
        <v>76</v>
      </c>
    </row>
    <row r="2" spans="1:20" ht="15.6" x14ac:dyDescent="0.25">
      <c r="A2" s="1"/>
      <c r="B2" s="2"/>
    </row>
    <row r="3" spans="1:20" ht="12" x14ac:dyDescent="0.25">
      <c r="C3" s="136" t="s">
        <v>159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4" spans="1:20" ht="24" x14ac:dyDescent="0.25">
      <c r="B4" s="30" t="s">
        <v>114</v>
      </c>
      <c r="C4" s="6" t="s">
        <v>45</v>
      </c>
      <c r="D4" s="6" t="s">
        <v>46</v>
      </c>
      <c r="E4" s="6" t="s">
        <v>47</v>
      </c>
      <c r="F4" s="6" t="s">
        <v>107</v>
      </c>
      <c r="G4" s="6" t="s">
        <v>115</v>
      </c>
      <c r="H4" s="67" t="s">
        <v>126</v>
      </c>
      <c r="I4" s="67" t="s">
        <v>125</v>
      </c>
      <c r="J4" s="67" t="s">
        <v>127</v>
      </c>
      <c r="K4" s="67" t="s">
        <v>128</v>
      </c>
      <c r="L4" s="67" t="s">
        <v>129</v>
      </c>
      <c r="M4" s="67" t="s">
        <v>130</v>
      </c>
      <c r="N4" s="67" t="s">
        <v>131</v>
      </c>
      <c r="O4" s="67" t="s">
        <v>204</v>
      </c>
      <c r="P4" s="67" t="s">
        <v>205</v>
      </c>
      <c r="Q4" s="67" t="s">
        <v>206</v>
      </c>
      <c r="R4" s="67" t="s">
        <v>207</v>
      </c>
      <c r="S4" s="67" t="s">
        <v>208</v>
      </c>
      <c r="T4" s="31" t="s">
        <v>121</v>
      </c>
    </row>
    <row r="5" spans="1:20" ht="13.2" customHeight="1" x14ac:dyDescent="0.25">
      <c r="B5" s="8" t="s">
        <v>117</v>
      </c>
      <c r="C5" s="58"/>
      <c r="D5" s="58"/>
      <c r="E5" s="58"/>
      <c r="F5" s="117" t="s">
        <v>65</v>
      </c>
      <c r="G5" s="117" t="s">
        <v>65</v>
      </c>
      <c r="H5" s="59">
        <f>($T5*Deliveries!H5)/1000000</f>
        <v>4368</v>
      </c>
      <c r="I5" s="59">
        <f>($T5*Deliveries!I5)*I14/1000000</f>
        <v>5486.04</v>
      </c>
      <c r="J5" s="59">
        <f>($T5*Deliveries!J5)*J14/1000000</f>
        <v>10920</v>
      </c>
      <c r="K5" s="59">
        <f>($T5*Deliveries!K5)*K14/1000000</f>
        <v>17472</v>
      </c>
      <c r="L5" s="59">
        <f>($T5*Deliveries!L5)*L14/1000000</f>
        <v>19219.200000000004</v>
      </c>
      <c r="M5" s="59">
        <f>($T5*Deliveries!M5)*M14/1000000</f>
        <v>21141.120000000003</v>
      </c>
      <c r="N5" s="59">
        <f>($T5*Deliveries!N5)*N14/1000000</f>
        <v>22198.176000000003</v>
      </c>
      <c r="O5" s="59">
        <f>($T5*Deliveries!O5)*O14/1000000</f>
        <v>23308.084800000008</v>
      </c>
      <c r="P5" s="59">
        <f>($T5*Deliveries!P5)*P14/1000000</f>
        <v>23774.246496000003</v>
      </c>
      <c r="Q5" s="59">
        <f>($T5*Deliveries!Q5)*Q14/1000000</f>
        <v>24249.731425920007</v>
      </c>
      <c r="R5" s="59">
        <f>($T5*Deliveries!R5)*R14/1000000</f>
        <v>24734.726054438408</v>
      </c>
      <c r="S5" s="59">
        <f>($T5*Deliveries!S5)*S14/1000000</f>
        <v>25229.420575527176</v>
      </c>
      <c r="T5" s="57">
        <v>42000</v>
      </c>
    </row>
    <row r="6" spans="1:20" x14ac:dyDescent="0.25">
      <c r="B6" s="8" t="s">
        <v>123</v>
      </c>
      <c r="C6" s="58">
        <f>'P&amp;L Input'!C4/1000</f>
        <v>3007.0120000000002</v>
      </c>
      <c r="D6" s="58">
        <f>'P&amp;L Input'!D4/1000</f>
        <v>3740.973</v>
      </c>
      <c r="E6" s="58">
        <f>'P&amp;L Input'!E4/1000</f>
        <v>6350.7659999999996</v>
      </c>
      <c r="F6" s="117" t="s">
        <v>65</v>
      </c>
      <c r="G6" s="117" t="s">
        <v>65</v>
      </c>
      <c r="H6" s="59">
        <f>($T6*Deliveries!H6)/1000000</f>
        <v>4891.25</v>
      </c>
      <c r="I6" s="59">
        <f>($T6*Deliveries!I6)*I15/1000000</f>
        <v>8750</v>
      </c>
      <c r="J6" s="59">
        <f>($T6*Deliveries!J6)*J15/1000000</f>
        <v>8925</v>
      </c>
      <c r="K6" s="59">
        <f>($T6*Deliveries!K6)*K15/1000000</f>
        <v>9103.5</v>
      </c>
      <c r="L6" s="59">
        <f>($T6*Deliveries!L6)*L15/1000000</f>
        <v>9285.57</v>
      </c>
      <c r="M6" s="59">
        <f>($T6*Deliveries!M6)*M15/1000000</f>
        <v>9471.2813999999998</v>
      </c>
      <c r="N6" s="59">
        <f>($T6*Deliveries!N6)*N15/1000000</f>
        <v>9660.7070280000007</v>
      </c>
      <c r="O6" s="59">
        <f>($T6*Deliveries!O6)*O15/1000000</f>
        <v>9853.9211685600021</v>
      </c>
      <c r="P6" s="59">
        <f>($T6*Deliveries!P6)*P15/1000000</f>
        <v>10050.9995919312</v>
      </c>
      <c r="Q6" s="59">
        <f>($T6*Deliveries!Q6)*Q15/1000000</f>
        <v>10252.019583769825</v>
      </c>
      <c r="R6" s="59">
        <f>($T6*Deliveries!R6)*R15/1000000</f>
        <v>10457.059975445223</v>
      </c>
      <c r="S6" s="59">
        <f>($T6*Deliveries!S6)*S15/1000000</f>
        <v>10666.201174954127</v>
      </c>
      <c r="T6" s="57">
        <f>(84000+91000)/2</f>
        <v>87500</v>
      </c>
    </row>
    <row r="7" spans="1:20" x14ac:dyDescent="0.25">
      <c r="B7" s="8" t="s">
        <v>118</v>
      </c>
      <c r="C7" s="58">
        <f>($T7*Deliveries!C7)/1000000</f>
        <v>0</v>
      </c>
      <c r="D7" s="58">
        <f>($T7*Deliveries!D7)/1000000</f>
        <v>0</v>
      </c>
      <c r="E7" s="58">
        <f>($T7*Deliveries!E7)/1000000</f>
        <v>0</v>
      </c>
      <c r="F7" s="58">
        <f>($T7*Deliveries!F7)/1000000</f>
        <v>0</v>
      </c>
      <c r="G7" s="58">
        <f>($T7*Deliveries!G7)/1000000</f>
        <v>0</v>
      </c>
      <c r="H7" s="59">
        <f>($T7*Deliveries!H7)/1000000</f>
        <v>0</v>
      </c>
      <c r="I7" s="59">
        <f>($T7*Deliveries!I7)*I16/1000000</f>
        <v>0</v>
      </c>
      <c r="J7" s="59">
        <f>($T7*Deliveries!J7)*J16/1000000</f>
        <v>88.2</v>
      </c>
      <c r="K7" s="59">
        <f>($T7*Deliveries!K7)*K16/1000000</f>
        <v>6531</v>
      </c>
      <c r="L7" s="59">
        <f>($T7*Deliveries!L7)*L16/1000000</f>
        <v>13000</v>
      </c>
      <c r="M7" s="59">
        <f>($T7*Deliveries!M7)*M16/1000000</f>
        <v>20800</v>
      </c>
      <c r="N7" s="59">
        <f>($T7*Deliveries!N7)*N16/1000000</f>
        <v>22880.000000000004</v>
      </c>
      <c r="O7" s="59">
        <f>($T7*Deliveries!O7)*O16/1000000</f>
        <v>25168.000000000007</v>
      </c>
      <c r="P7" s="59">
        <f>($T7*Deliveries!P7)*P16/1000000</f>
        <v>26426.400000000009</v>
      </c>
      <c r="Q7" s="59">
        <f>($T7*Deliveries!Q7)*Q16/1000000</f>
        <v>27747.720000000008</v>
      </c>
      <c r="R7" s="59">
        <f>($T7*Deliveries!R7)*R16/1000000</f>
        <v>28302.674400000007</v>
      </c>
      <c r="S7" s="59">
        <f>($T7*Deliveries!S7)*S16/1000000</f>
        <v>28868.727888000005</v>
      </c>
      <c r="T7" s="57">
        <v>50000</v>
      </c>
    </row>
    <row r="8" spans="1:20" x14ac:dyDescent="0.25">
      <c r="B8" s="8" t="s">
        <v>120</v>
      </c>
      <c r="C8" s="58">
        <f>($T8*Deliveries!C8)/1000000</f>
        <v>0</v>
      </c>
      <c r="D8" s="58">
        <f>($T8*Deliveries!D8)/1000000</f>
        <v>0</v>
      </c>
      <c r="E8" s="58">
        <f>($T8*Deliveries!E8)/1000000</f>
        <v>0</v>
      </c>
      <c r="F8" s="58">
        <f>($T8*Deliveries!F8)/1000000</f>
        <v>0</v>
      </c>
      <c r="G8" s="58">
        <f>($T8*Deliveries!G8)/1000000</f>
        <v>0</v>
      </c>
      <c r="H8" s="59">
        <f>($T8*Deliveries!H8)/1000000</f>
        <v>0</v>
      </c>
      <c r="I8" s="59">
        <f>($T8*Deliveries!I8)*I17/1000000</f>
        <v>0</v>
      </c>
      <c r="J8" s="59">
        <f>($T8*Deliveries!J8)*J17/1000000</f>
        <v>0</v>
      </c>
      <c r="K8" s="59">
        <f>($T8*Deliveries!K8)*K17/1000000</f>
        <v>115</v>
      </c>
      <c r="L8" s="59">
        <f>($T8*Deliveries!L8)*L17/1000000</f>
        <v>230</v>
      </c>
      <c r="M8" s="59">
        <f>($T8*Deliveries!M8)*M17/1000000</f>
        <v>345</v>
      </c>
      <c r="N8" s="59">
        <f>($T8*Deliveries!N8)*N17/1000000</f>
        <v>379.50000000000006</v>
      </c>
      <c r="O8" s="59">
        <f>($T8*Deliveries!O8)*O17/1000000</f>
        <v>417.4500000000001</v>
      </c>
      <c r="P8" s="59">
        <f>($T8*Deliveries!P8)*P17/1000000</f>
        <v>438.3225000000001</v>
      </c>
      <c r="Q8" s="59">
        <f>($T8*Deliveries!Q8)*Q17/1000000</f>
        <v>460.23862500000013</v>
      </c>
      <c r="R8" s="59">
        <f>($T8*Deliveries!R8)*R17/1000000</f>
        <v>469.44339750000017</v>
      </c>
      <c r="S8" s="59">
        <f>($T8*Deliveries!S8)*S17/1000000</f>
        <v>478.83226545000019</v>
      </c>
      <c r="T8" s="57">
        <v>230000</v>
      </c>
    </row>
    <row r="9" spans="1:20" x14ac:dyDescent="0.25">
      <c r="B9" s="8" t="s">
        <v>119</v>
      </c>
      <c r="C9" s="58">
        <f>($T9*Deliveries!C9)/1000000</f>
        <v>0</v>
      </c>
      <c r="D9" s="58">
        <f>($T9*Deliveries!D9)/1000000</f>
        <v>0</v>
      </c>
      <c r="E9" s="58">
        <f>($T9*Deliveries!E9)/1000000</f>
        <v>0</v>
      </c>
      <c r="F9" s="58">
        <f>($T9*Deliveries!F9)/1000000</f>
        <v>0</v>
      </c>
      <c r="G9" s="58">
        <f>($T9*Deliveries!G9)/1000000</f>
        <v>0</v>
      </c>
      <c r="H9" s="59">
        <f>($T9*Deliveries!H9)/1000000</f>
        <v>0</v>
      </c>
      <c r="I9" s="59">
        <f>($T9*Deliveries!I9)*I18/1000000</f>
        <v>0</v>
      </c>
      <c r="J9" s="59">
        <f>($T9*Deliveries!J9)*J18/1000000</f>
        <v>15.75</v>
      </c>
      <c r="K9" s="59">
        <f>($T9*Deliveries!K9)*K18/1000000</f>
        <v>1166.25</v>
      </c>
      <c r="L9" s="59">
        <f>($T9*Deliveries!L9)*L18/1000000</f>
        <v>2321.4285714285716</v>
      </c>
      <c r="M9" s="59">
        <f>($T9*Deliveries!M9)*M18/1000000</f>
        <v>3714.2857142857151</v>
      </c>
      <c r="N9" s="59">
        <f>($T9*Deliveries!N9)*N18/1000000</f>
        <v>4085.7142857142867</v>
      </c>
      <c r="O9" s="59">
        <f>($T9*Deliveries!O9)*O18/1000000</f>
        <v>4494.2857142857165</v>
      </c>
      <c r="P9" s="59">
        <f>($T9*Deliveries!P9)*P18/1000000</f>
        <v>4719.0000000000018</v>
      </c>
      <c r="Q9" s="59">
        <f>($T9*Deliveries!Q9)*Q18/1000000</f>
        <v>4954.9500000000025</v>
      </c>
      <c r="R9" s="59">
        <f>($T9*Deliveries!R9)*R18/1000000</f>
        <v>5054.0490000000027</v>
      </c>
      <c r="S9" s="59">
        <f>($T9*Deliveries!S9)*S18/1000000</f>
        <v>5155.1299800000024</v>
      </c>
      <c r="T9" s="57">
        <v>63000</v>
      </c>
    </row>
    <row r="10" spans="1:20" x14ac:dyDescent="0.25">
      <c r="B10" s="8" t="s">
        <v>116</v>
      </c>
      <c r="C10" s="58">
        <f>($T10*Deliveries!C10)/1000000</f>
        <v>0</v>
      </c>
      <c r="D10" s="58">
        <f>($T10*Deliveries!D10)/1000000</f>
        <v>0</v>
      </c>
      <c r="E10" s="58">
        <f>($T10*Deliveries!E10)/1000000</f>
        <v>0</v>
      </c>
      <c r="F10" s="58">
        <f>($T10*Deliveries!F10)/1000000</f>
        <v>0</v>
      </c>
      <c r="G10" s="58">
        <f>($T10*Deliveries!G10)/1000000</f>
        <v>0</v>
      </c>
      <c r="H10" s="59">
        <f>($T10*Deliveries!H10)/1000000</f>
        <v>0</v>
      </c>
      <c r="I10" s="59">
        <f>($T10*Deliveries!I10)*I19/1000000</f>
        <v>0</v>
      </c>
      <c r="J10" s="59">
        <f>($T10*Deliveries!J10)*J19/1000000</f>
        <v>50</v>
      </c>
      <c r="K10" s="59">
        <f>($T10*Deliveries!K10)*K19/1000000</f>
        <v>3702.3809523809527</v>
      </c>
      <c r="L10" s="59">
        <f>($T10*Deliveries!L10)*L19/1000000</f>
        <v>7369.6145124716568</v>
      </c>
      <c r="M10" s="59">
        <f>($T10*Deliveries!M10)*M19/1000000</f>
        <v>11791.38321995465</v>
      </c>
      <c r="N10" s="59">
        <f>($T10*Deliveries!N10)*N19/1000000</f>
        <v>12970.521541950116</v>
      </c>
      <c r="O10" s="59">
        <f>($T10*Deliveries!O10)*O19/1000000</f>
        <v>14267.573696145129</v>
      </c>
      <c r="P10" s="59">
        <f>($T10*Deliveries!P10)*P19/1000000</f>
        <v>14980.952380952387</v>
      </c>
      <c r="Q10" s="59">
        <f>($T10*Deliveries!Q10)*Q19/1000000</f>
        <v>15730.000000000009</v>
      </c>
      <c r="R10" s="59">
        <f>($T10*Deliveries!R10)*R19/1000000</f>
        <v>16044.600000000009</v>
      </c>
      <c r="S10" s="59">
        <f>($T10*Deliveries!S10)*S19/1000000</f>
        <v>16365.492000000009</v>
      </c>
      <c r="T10" s="57">
        <v>200000</v>
      </c>
    </row>
    <row r="11" spans="1:20" ht="12.6" thickBot="1" x14ac:dyDescent="0.3">
      <c r="B11" s="85" t="s">
        <v>69</v>
      </c>
      <c r="C11" s="96">
        <f>SUM(C5:C10)</f>
        <v>3007.0120000000002</v>
      </c>
      <c r="D11" s="96">
        <f t="shared" ref="D11:N11" si="0">SUM(D5:D10)</f>
        <v>3740.973</v>
      </c>
      <c r="E11" s="96">
        <f t="shared" si="0"/>
        <v>6350.7659999999996</v>
      </c>
      <c r="F11" s="96">
        <f>'P&amp;L Input'!F4/1000</f>
        <v>9641.2999999999993</v>
      </c>
      <c r="G11" s="96">
        <f>'P&amp;L Input'!G4/1000</f>
        <v>6092.9979999999996</v>
      </c>
      <c r="H11" s="96">
        <f t="shared" si="0"/>
        <v>9259.25</v>
      </c>
      <c r="I11" s="96">
        <f t="shared" si="0"/>
        <v>14236.04</v>
      </c>
      <c r="J11" s="96">
        <f t="shared" si="0"/>
        <v>19998.95</v>
      </c>
      <c r="K11" s="96">
        <f t="shared" si="0"/>
        <v>38090.130952380954</v>
      </c>
      <c r="L11" s="96">
        <f t="shared" si="0"/>
        <v>51425.813083900233</v>
      </c>
      <c r="M11" s="96">
        <f t="shared" si="0"/>
        <v>67263.070334240372</v>
      </c>
      <c r="N11" s="96">
        <f t="shared" si="0"/>
        <v>72174.618855664419</v>
      </c>
      <c r="O11" s="96">
        <f t="shared" ref="O11:S11" si="1">SUM(O5:O10)</f>
        <v>77509.315378990868</v>
      </c>
      <c r="P11" s="96">
        <f t="shared" si="1"/>
        <v>80389.920968883598</v>
      </c>
      <c r="Q11" s="96">
        <f t="shared" si="1"/>
        <v>83394.659634689859</v>
      </c>
      <c r="R11" s="96">
        <f t="shared" si="1"/>
        <v>85062.552827383639</v>
      </c>
      <c r="S11" s="96">
        <f t="shared" si="1"/>
        <v>86763.803883931323</v>
      </c>
      <c r="T11" s="65"/>
    </row>
    <row r="12" spans="1:20" ht="3" customHeight="1" x14ac:dyDescent="0.25"/>
    <row r="13" spans="1:20" x14ac:dyDescent="0.25">
      <c r="B13" s="60" t="s">
        <v>75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29"/>
    </row>
    <row r="14" spans="1:20" x14ac:dyDescent="0.25">
      <c r="B14" s="61" t="s">
        <v>117</v>
      </c>
      <c r="C14" s="64"/>
      <c r="D14" s="64"/>
      <c r="E14" s="64"/>
      <c r="F14" s="64"/>
      <c r="G14" s="61"/>
      <c r="H14" s="61"/>
      <c r="I14" s="63">
        <f>CHOOSE(Drivers!$C$3,'Revenue automotive'!I22,'Revenue automotive'!I30,'Revenue automotive'!I38)</f>
        <v>1</v>
      </c>
      <c r="J14" s="63">
        <f>CHOOSE(Drivers!$C$3,'Revenue automotive'!J22,'Revenue automotive'!J30,'Revenue automotive'!J38)</f>
        <v>1</v>
      </c>
      <c r="K14" s="63">
        <f>CHOOSE(Drivers!$C$3,'Revenue automotive'!K22,'Revenue automotive'!K30,'Revenue automotive'!K38)</f>
        <v>1</v>
      </c>
      <c r="L14" s="63">
        <f>CHOOSE(Drivers!$C$3,'Revenue automotive'!L22,'Revenue automotive'!L30,'Revenue automotive'!L38)</f>
        <v>1</v>
      </c>
      <c r="M14" s="63">
        <f>CHOOSE(Drivers!$C$3,'Revenue automotive'!M22,'Revenue automotive'!M30,'Revenue automotive'!M38)</f>
        <v>1</v>
      </c>
      <c r="N14" s="63">
        <f>CHOOSE(Drivers!$C$3,'Revenue automotive'!N22,'Revenue automotive'!N30,'Revenue automotive'!N38)</f>
        <v>1</v>
      </c>
      <c r="O14" s="63">
        <f>CHOOSE(Drivers!$C$3,'Revenue automotive'!O22,'Revenue automotive'!O30,'Revenue automotive'!O38)</f>
        <v>1</v>
      </c>
      <c r="P14" s="63">
        <f>CHOOSE(Drivers!$C$3,'Revenue automotive'!P22,'Revenue automotive'!P30,'Revenue automotive'!P38)</f>
        <v>1</v>
      </c>
      <c r="Q14" s="63">
        <f>CHOOSE(Drivers!$C$3,'Revenue automotive'!Q22,'Revenue automotive'!Q30,'Revenue automotive'!Q38)</f>
        <v>1</v>
      </c>
      <c r="R14" s="63">
        <f>CHOOSE(Drivers!$C$3,'Revenue automotive'!R22,'Revenue automotive'!R30,'Revenue automotive'!R38)</f>
        <v>1</v>
      </c>
      <c r="S14" s="63">
        <f>CHOOSE(Drivers!$C$3,'Revenue automotive'!S22,'Revenue automotive'!S30,'Revenue automotive'!S38)</f>
        <v>1</v>
      </c>
      <c r="T14" s="29"/>
    </row>
    <row r="15" spans="1:20" x14ac:dyDescent="0.25">
      <c r="B15" s="61" t="s">
        <v>123</v>
      </c>
      <c r="C15" s="64"/>
      <c r="D15" s="48"/>
      <c r="E15" s="48"/>
      <c r="F15" s="48"/>
      <c r="G15" s="61"/>
      <c r="H15" s="61"/>
      <c r="I15" s="63">
        <f>CHOOSE(Drivers!$C$3,'Revenue automotive'!I23,'Revenue automotive'!I31,'Revenue automotive'!I39)</f>
        <v>1</v>
      </c>
      <c r="J15" s="63">
        <f>CHOOSE(Drivers!$C$3,'Revenue automotive'!J23,'Revenue automotive'!J31,'Revenue automotive'!J39)</f>
        <v>1</v>
      </c>
      <c r="K15" s="63">
        <f>CHOOSE(Drivers!$C$3,'Revenue automotive'!K23,'Revenue automotive'!K31,'Revenue automotive'!K39)</f>
        <v>1</v>
      </c>
      <c r="L15" s="63">
        <f>CHOOSE(Drivers!$C$3,'Revenue automotive'!L23,'Revenue automotive'!L31,'Revenue automotive'!L39)</f>
        <v>1</v>
      </c>
      <c r="M15" s="63">
        <f>CHOOSE(Drivers!$C$3,'Revenue automotive'!M23,'Revenue automotive'!M31,'Revenue automotive'!M39)</f>
        <v>1</v>
      </c>
      <c r="N15" s="63">
        <f>CHOOSE(Drivers!$C$3,'Revenue automotive'!N23,'Revenue automotive'!N31,'Revenue automotive'!N39)</f>
        <v>1</v>
      </c>
      <c r="O15" s="63">
        <f>CHOOSE(Drivers!$C$3,'Revenue automotive'!O23,'Revenue automotive'!O31,'Revenue automotive'!O39)</f>
        <v>1</v>
      </c>
      <c r="P15" s="63">
        <f>CHOOSE(Drivers!$C$3,'Revenue automotive'!P23,'Revenue automotive'!P31,'Revenue automotive'!P39)</f>
        <v>1</v>
      </c>
      <c r="Q15" s="63">
        <f>CHOOSE(Drivers!$C$3,'Revenue automotive'!Q23,'Revenue automotive'!Q31,'Revenue automotive'!Q39)</f>
        <v>1</v>
      </c>
      <c r="R15" s="63">
        <f>CHOOSE(Drivers!$C$3,'Revenue automotive'!R23,'Revenue automotive'!R31,'Revenue automotive'!R39)</f>
        <v>1</v>
      </c>
      <c r="S15" s="63">
        <f>CHOOSE(Drivers!$C$3,'Revenue automotive'!S23,'Revenue automotive'!S31,'Revenue automotive'!S39)</f>
        <v>1</v>
      </c>
      <c r="T15" s="29"/>
    </row>
    <row r="16" spans="1:20" x14ac:dyDescent="0.25">
      <c r="B16" s="61" t="s">
        <v>118</v>
      </c>
      <c r="C16" s="64"/>
      <c r="D16" s="64"/>
      <c r="E16" s="64"/>
      <c r="F16" s="64"/>
      <c r="G16" s="61"/>
      <c r="H16" s="61"/>
      <c r="I16" s="63">
        <f>CHOOSE(Drivers!$C$3,'Revenue automotive'!I24,'Revenue automotive'!I32,'Revenue automotive'!I40)</f>
        <v>1</v>
      </c>
      <c r="J16" s="63">
        <f>CHOOSE(Drivers!$C$3,'Revenue automotive'!J24,'Revenue automotive'!J32,'Revenue automotive'!J40)</f>
        <v>1</v>
      </c>
      <c r="K16" s="63">
        <f>CHOOSE(Drivers!$C$3,'Revenue automotive'!K24,'Revenue automotive'!K32,'Revenue automotive'!K40)</f>
        <v>1</v>
      </c>
      <c r="L16" s="63">
        <f>CHOOSE(Drivers!$C$3,'Revenue automotive'!L24,'Revenue automotive'!L32,'Revenue automotive'!L40)</f>
        <v>1</v>
      </c>
      <c r="M16" s="63">
        <f>CHOOSE(Drivers!$C$3,'Revenue automotive'!M24,'Revenue automotive'!M32,'Revenue automotive'!M40)</f>
        <v>1</v>
      </c>
      <c r="N16" s="63">
        <f>CHOOSE(Drivers!$C$3,'Revenue automotive'!N24,'Revenue automotive'!N32,'Revenue automotive'!N40)</f>
        <v>1</v>
      </c>
      <c r="O16" s="63">
        <f>CHOOSE(Drivers!$C$3,'Revenue automotive'!O24,'Revenue automotive'!O32,'Revenue automotive'!O40)</f>
        <v>1</v>
      </c>
      <c r="P16" s="63">
        <f>CHOOSE(Drivers!$C$3,'Revenue automotive'!P24,'Revenue automotive'!P32,'Revenue automotive'!P40)</f>
        <v>1</v>
      </c>
      <c r="Q16" s="63">
        <f>CHOOSE(Drivers!$C$3,'Revenue automotive'!Q24,'Revenue automotive'!Q32,'Revenue automotive'!Q40)</f>
        <v>1</v>
      </c>
      <c r="R16" s="63">
        <f>CHOOSE(Drivers!$C$3,'Revenue automotive'!R24,'Revenue automotive'!R32,'Revenue automotive'!R40)</f>
        <v>1</v>
      </c>
      <c r="S16" s="63">
        <f>CHOOSE(Drivers!$C$3,'Revenue automotive'!S24,'Revenue automotive'!S32,'Revenue automotive'!S40)</f>
        <v>1</v>
      </c>
      <c r="T16" s="29"/>
    </row>
    <row r="17" spans="2:20" x14ac:dyDescent="0.25">
      <c r="B17" s="61" t="s">
        <v>120</v>
      </c>
      <c r="C17" s="64"/>
      <c r="D17" s="64"/>
      <c r="E17" s="64"/>
      <c r="F17" s="64"/>
      <c r="G17" s="61"/>
      <c r="H17" s="61"/>
      <c r="I17" s="63">
        <f>CHOOSE(Drivers!$C$3,'Revenue automotive'!I25,'Revenue automotive'!I33,'Revenue automotive'!I41)</f>
        <v>1</v>
      </c>
      <c r="J17" s="63">
        <f>CHOOSE(Drivers!$C$3,'Revenue automotive'!J25,'Revenue automotive'!J33,'Revenue automotive'!J41)</f>
        <v>1</v>
      </c>
      <c r="K17" s="63">
        <f>CHOOSE(Drivers!$C$3,'Revenue automotive'!K25,'Revenue automotive'!K33,'Revenue automotive'!K41)</f>
        <v>1</v>
      </c>
      <c r="L17" s="63">
        <f>CHOOSE(Drivers!$C$3,'Revenue automotive'!L25,'Revenue automotive'!L33,'Revenue automotive'!L41)</f>
        <v>1</v>
      </c>
      <c r="M17" s="63">
        <f>CHOOSE(Drivers!$C$3,'Revenue automotive'!M25,'Revenue automotive'!M33,'Revenue automotive'!M41)</f>
        <v>1</v>
      </c>
      <c r="N17" s="63">
        <f>CHOOSE(Drivers!$C$3,'Revenue automotive'!N25,'Revenue automotive'!N33,'Revenue automotive'!N41)</f>
        <v>1</v>
      </c>
      <c r="O17" s="63">
        <f>CHOOSE(Drivers!$C$3,'Revenue automotive'!O25,'Revenue automotive'!O33,'Revenue automotive'!O41)</f>
        <v>1</v>
      </c>
      <c r="P17" s="63">
        <f>CHOOSE(Drivers!$C$3,'Revenue automotive'!P25,'Revenue automotive'!P33,'Revenue automotive'!P41)</f>
        <v>1</v>
      </c>
      <c r="Q17" s="63">
        <f>CHOOSE(Drivers!$C$3,'Revenue automotive'!Q25,'Revenue automotive'!Q33,'Revenue automotive'!Q41)</f>
        <v>1</v>
      </c>
      <c r="R17" s="63">
        <f>CHOOSE(Drivers!$C$3,'Revenue automotive'!R25,'Revenue automotive'!R33,'Revenue automotive'!R41)</f>
        <v>1</v>
      </c>
      <c r="S17" s="63">
        <f>CHOOSE(Drivers!$C$3,'Revenue automotive'!S25,'Revenue automotive'!S33,'Revenue automotive'!S41)</f>
        <v>1</v>
      </c>
      <c r="T17" s="127"/>
    </row>
    <row r="18" spans="2:20" x14ac:dyDescent="0.25">
      <c r="B18" s="61" t="s">
        <v>119</v>
      </c>
      <c r="C18" s="64"/>
      <c r="D18" s="64"/>
      <c r="E18" s="64"/>
      <c r="F18" s="64"/>
      <c r="G18" s="61"/>
      <c r="H18" s="61"/>
      <c r="I18" s="63">
        <f>CHOOSE(Drivers!$C$3,'Revenue automotive'!I26,'Revenue automotive'!I34,'Revenue automotive'!I42)</f>
        <v>1</v>
      </c>
      <c r="J18" s="63">
        <f>CHOOSE(Drivers!$C$3,'Revenue automotive'!J26,'Revenue automotive'!J34,'Revenue automotive'!J42)</f>
        <v>1</v>
      </c>
      <c r="K18" s="63">
        <f>CHOOSE(Drivers!$C$3,'Revenue automotive'!K26,'Revenue automotive'!K34,'Revenue automotive'!K42)</f>
        <v>1</v>
      </c>
      <c r="L18" s="63">
        <f>CHOOSE(Drivers!$C$3,'Revenue automotive'!L26,'Revenue automotive'!L34,'Revenue automotive'!L42)</f>
        <v>1</v>
      </c>
      <c r="M18" s="63">
        <f>CHOOSE(Drivers!$C$3,'Revenue automotive'!M26,'Revenue automotive'!M34,'Revenue automotive'!M42)</f>
        <v>1</v>
      </c>
      <c r="N18" s="63">
        <f>CHOOSE(Drivers!$C$3,'Revenue automotive'!N26,'Revenue automotive'!N34,'Revenue automotive'!N42)</f>
        <v>1</v>
      </c>
      <c r="O18" s="63">
        <f>CHOOSE(Drivers!$C$3,'Revenue automotive'!O26,'Revenue automotive'!O34,'Revenue automotive'!O42)</f>
        <v>1</v>
      </c>
      <c r="P18" s="63">
        <f>CHOOSE(Drivers!$C$3,'Revenue automotive'!P26,'Revenue automotive'!P34,'Revenue automotive'!P42)</f>
        <v>1</v>
      </c>
      <c r="Q18" s="63">
        <f>CHOOSE(Drivers!$C$3,'Revenue automotive'!Q26,'Revenue automotive'!Q34,'Revenue automotive'!Q42)</f>
        <v>1</v>
      </c>
      <c r="R18" s="63">
        <f>CHOOSE(Drivers!$C$3,'Revenue automotive'!R26,'Revenue automotive'!R34,'Revenue automotive'!R42)</f>
        <v>1</v>
      </c>
      <c r="S18" s="63">
        <f>CHOOSE(Drivers!$C$3,'Revenue automotive'!S26,'Revenue automotive'!S34,'Revenue automotive'!S42)</f>
        <v>1</v>
      </c>
      <c r="T18" s="29"/>
    </row>
    <row r="19" spans="2:20" x14ac:dyDescent="0.25">
      <c r="B19" s="61" t="s">
        <v>116</v>
      </c>
      <c r="C19" s="64"/>
      <c r="D19" s="64"/>
      <c r="E19" s="64"/>
      <c r="F19" s="64"/>
      <c r="G19" s="61"/>
      <c r="H19" s="61"/>
      <c r="I19" s="63">
        <f>CHOOSE(Drivers!$C$3,'Revenue automotive'!I27,'Revenue automotive'!I35,'Revenue automotive'!I43)</f>
        <v>1</v>
      </c>
      <c r="J19" s="63">
        <f>CHOOSE(Drivers!$C$3,'Revenue automotive'!J27,'Revenue automotive'!J35,'Revenue automotive'!J43)</f>
        <v>1</v>
      </c>
      <c r="K19" s="63">
        <f>CHOOSE(Drivers!$C$3,'Revenue automotive'!K27,'Revenue automotive'!K35,'Revenue automotive'!K43)</f>
        <v>1</v>
      </c>
      <c r="L19" s="63">
        <f>CHOOSE(Drivers!$C$3,'Revenue automotive'!L27,'Revenue automotive'!L35,'Revenue automotive'!L43)</f>
        <v>1</v>
      </c>
      <c r="M19" s="63">
        <f>CHOOSE(Drivers!$C$3,'Revenue automotive'!M27,'Revenue automotive'!M35,'Revenue automotive'!M43)</f>
        <v>1</v>
      </c>
      <c r="N19" s="63">
        <f>CHOOSE(Drivers!$C$3,'Revenue automotive'!N27,'Revenue automotive'!N35,'Revenue automotive'!N43)</f>
        <v>1</v>
      </c>
      <c r="O19" s="63">
        <f>CHOOSE(Drivers!$C$3,'Revenue automotive'!O27,'Revenue automotive'!O35,'Revenue automotive'!O43)</f>
        <v>1</v>
      </c>
      <c r="P19" s="63">
        <f>CHOOSE(Drivers!$C$3,'Revenue automotive'!P27,'Revenue automotive'!P35,'Revenue automotive'!P43)</f>
        <v>1</v>
      </c>
      <c r="Q19" s="63">
        <f>CHOOSE(Drivers!$C$3,'Revenue automotive'!Q27,'Revenue automotive'!Q35,'Revenue automotive'!Q43)</f>
        <v>1</v>
      </c>
      <c r="R19" s="63">
        <f>CHOOSE(Drivers!$C$3,'Revenue automotive'!R27,'Revenue automotive'!R35,'Revenue automotive'!R43)</f>
        <v>1</v>
      </c>
      <c r="S19" s="63">
        <f>CHOOSE(Drivers!$C$3,'Revenue automotive'!S27,'Revenue automotive'!S35,'Revenue automotive'!S43)</f>
        <v>1</v>
      </c>
      <c r="T19" s="29"/>
    </row>
    <row r="20" spans="2:20" x14ac:dyDescent="0.25">
      <c r="B20" s="61"/>
      <c r="C20" s="64"/>
      <c r="D20" s="64"/>
      <c r="E20" s="64"/>
      <c r="F20" s="64"/>
      <c r="G20" s="61"/>
      <c r="H20" s="61"/>
      <c r="I20" s="64"/>
      <c r="J20" s="64"/>
      <c r="K20" s="62"/>
      <c r="L20" s="62"/>
      <c r="M20" s="62"/>
      <c r="N20" s="62"/>
      <c r="O20" s="62"/>
      <c r="P20" s="62"/>
      <c r="Q20" s="62"/>
      <c r="R20" s="62"/>
      <c r="S20" s="62"/>
      <c r="T20" s="29"/>
    </row>
    <row r="21" spans="2:20" x14ac:dyDescent="0.25">
      <c r="B21" s="60" t="s">
        <v>71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29"/>
    </row>
    <row r="22" spans="2:20" x14ac:dyDescent="0.25">
      <c r="B22" s="61" t="s">
        <v>117</v>
      </c>
      <c r="C22" s="64"/>
      <c r="D22" s="64"/>
      <c r="E22" s="64"/>
      <c r="F22" s="64"/>
      <c r="G22" s="61"/>
      <c r="H22" s="61"/>
      <c r="I22" s="63">
        <v>1.02</v>
      </c>
      <c r="J22" s="63">
        <v>1.02</v>
      </c>
      <c r="K22" s="63">
        <v>1.02</v>
      </c>
      <c r="L22" s="63">
        <v>1.02</v>
      </c>
      <c r="M22" s="63">
        <v>1.02</v>
      </c>
      <c r="N22" s="63">
        <v>1.02</v>
      </c>
      <c r="O22" s="63">
        <v>1.02</v>
      </c>
      <c r="P22" s="63">
        <v>1.02</v>
      </c>
      <c r="Q22" s="63">
        <v>1.02</v>
      </c>
      <c r="R22" s="63">
        <v>1.02</v>
      </c>
      <c r="S22" s="63">
        <v>1.02</v>
      </c>
      <c r="T22" s="29"/>
    </row>
    <row r="23" spans="2:20" x14ac:dyDescent="0.25">
      <c r="B23" s="61" t="s">
        <v>123</v>
      </c>
      <c r="C23" s="64"/>
      <c r="D23" s="48"/>
      <c r="E23" s="48"/>
      <c r="F23" s="48"/>
      <c r="G23" s="61"/>
      <c r="H23" s="61"/>
      <c r="I23" s="63">
        <v>1.02</v>
      </c>
      <c r="J23" s="63">
        <v>1.02</v>
      </c>
      <c r="K23" s="63">
        <v>1.02</v>
      </c>
      <c r="L23" s="63">
        <v>1.02</v>
      </c>
      <c r="M23" s="63">
        <v>1.02</v>
      </c>
      <c r="N23" s="63">
        <v>1.02</v>
      </c>
      <c r="O23" s="63">
        <v>1.02</v>
      </c>
      <c r="P23" s="63">
        <v>1.02</v>
      </c>
      <c r="Q23" s="63">
        <v>1.02</v>
      </c>
      <c r="R23" s="63">
        <v>1.02</v>
      </c>
      <c r="S23" s="63">
        <v>1.02</v>
      </c>
      <c r="T23" s="29"/>
    </row>
    <row r="24" spans="2:20" x14ac:dyDescent="0.25">
      <c r="B24" s="61" t="s">
        <v>118</v>
      </c>
      <c r="C24" s="64"/>
      <c r="D24" s="64"/>
      <c r="E24" s="64"/>
      <c r="F24" s="64"/>
      <c r="G24" s="61"/>
      <c r="H24" s="61"/>
      <c r="I24" s="63">
        <v>1.02</v>
      </c>
      <c r="J24" s="63">
        <v>1.02</v>
      </c>
      <c r="K24" s="63">
        <v>1.02</v>
      </c>
      <c r="L24" s="63">
        <v>1.02</v>
      </c>
      <c r="M24" s="63">
        <v>1.02</v>
      </c>
      <c r="N24" s="63">
        <v>1.02</v>
      </c>
      <c r="O24" s="63">
        <v>1.02</v>
      </c>
      <c r="P24" s="63">
        <v>1.02</v>
      </c>
      <c r="Q24" s="63">
        <v>1.02</v>
      </c>
      <c r="R24" s="63">
        <v>1.02</v>
      </c>
      <c r="S24" s="63">
        <v>1.02</v>
      </c>
      <c r="T24" s="29"/>
    </row>
    <row r="25" spans="2:20" x14ac:dyDescent="0.25">
      <c r="B25" s="61" t="s">
        <v>120</v>
      </c>
      <c r="C25" s="64"/>
      <c r="D25" s="64"/>
      <c r="E25" s="64"/>
      <c r="F25" s="64"/>
      <c r="G25" s="61"/>
      <c r="H25" s="61"/>
      <c r="I25" s="63">
        <v>1.02</v>
      </c>
      <c r="J25" s="63">
        <v>1.02</v>
      </c>
      <c r="K25" s="63">
        <v>1.02</v>
      </c>
      <c r="L25" s="63">
        <v>1.02</v>
      </c>
      <c r="M25" s="63">
        <v>1.02</v>
      </c>
      <c r="N25" s="63">
        <v>1.02</v>
      </c>
      <c r="O25" s="63">
        <v>1.02</v>
      </c>
      <c r="P25" s="63">
        <v>1.02</v>
      </c>
      <c r="Q25" s="63">
        <v>1.02</v>
      </c>
      <c r="R25" s="63">
        <v>1.02</v>
      </c>
      <c r="S25" s="63">
        <v>1.02</v>
      </c>
      <c r="T25" s="29"/>
    </row>
    <row r="26" spans="2:20" x14ac:dyDescent="0.25">
      <c r="B26" s="61" t="s">
        <v>119</v>
      </c>
      <c r="C26" s="64"/>
      <c r="D26" s="64"/>
      <c r="E26" s="64"/>
      <c r="F26" s="64"/>
      <c r="G26" s="61"/>
      <c r="H26" s="61"/>
      <c r="I26" s="63">
        <v>1.02</v>
      </c>
      <c r="J26" s="63">
        <v>1.02</v>
      </c>
      <c r="K26" s="63">
        <v>1.02</v>
      </c>
      <c r="L26" s="63">
        <v>1.02</v>
      </c>
      <c r="M26" s="63">
        <v>1.02</v>
      </c>
      <c r="N26" s="63">
        <v>1.02</v>
      </c>
      <c r="O26" s="63">
        <v>1.02</v>
      </c>
      <c r="P26" s="63">
        <v>1.02</v>
      </c>
      <c r="Q26" s="63">
        <v>1.02</v>
      </c>
      <c r="R26" s="63">
        <v>1.02</v>
      </c>
      <c r="S26" s="63">
        <v>1.02</v>
      </c>
      <c r="T26" s="29"/>
    </row>
    <row r="27" spans="2:20" x14ac:dyDescent="0.25">
      <c r="B27" s="61" t="s">
        <v>116</v>
      </c>
      <c r="C27" s="64"/>
      <c r="D27" s="64"/>
      <c r="E27" s="64"/>
      <c r="F27" s="64"/>
      <c r="G27" s="61"/>
      <c r="H27" s="61"/>
      <c r="I27" s="63">
        <v>1.02</v>
      </c>
      <c r="J27" s="63">
        <v>1.02</v>
      </c>
      <c r="K27" s="63">
        <v>1.02</v>
      </c>
      <c r="L27" s="63">
        <v>1.02</v>
      </c>
      <c r="M27" s="63">
        <v>1.02</v>
      </c>
      <c r="N27" s="63">
        <v>1.02</v>
      </c>
      <c r="O27" s="63">
        <v>1.02</v>
      </c>
      <c r="P27" s="63">
        <v>1.02</v>
      </c>
      <c r="Q27" s="63">
        <v>1.02</v>
      </c>
      <c r="R27" s="63">
        <v>1.02</v>
      </c>
      <c r="S27" s="63">
        <v>1.02</v>
      </c>
      <c r="T27" s="29"/>
    </row>
    <row r="28" spans="2:20" x14ac:dyDescent="0.25">
      <c r="B28" s="61"/>
      <c r="C28" s="64"/>
      <c r="D28" s="64"/>
      <c r="E28" s="64"/>
      <c r="F28" s="64"/>
      <c r="G28" s="61"/>
      <c r="H28" s="61"/>
      <c r="I28" s="64"/>
      <c r="J28" s="64"/>
      <c r="K28" s="62"/>
      <c r="L28" s="62"/>
      <c r="M28" s="62"/>
      <c r="N28" s="62"/>
      <c r="O28" s="62"/>
      <c r="P28" s="62"/>
      <c r="Q28" s="62"/>
      <c r="R28" s="62"/>
      <c r="S28" s="62"/>
      <c r="T28" s="29"/>
    </row>
    <row r="29" spans="2:20" x14ac:dyDescent="0.25">
      <c r="B29" s="60" t="s">
        <v>72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29"/>
    </row>
    <row r="30" spans="2:20" x14ac:dyDescent="0.25">
      <c r="B30" s="61" t="s">
        <v>117</v>
      </c>
      <c r="C30" s="64"/>
      <c r="D30" s="64"/>
      <c r="E30" s="64"/>
      <c r="F30" s="64"/>
      <c r="G30" s="61"/>
      <c r="H30" s="61"/>
      <c r="I30" s="63">
        <v>1</v>
      </c>
      <c r="J30" s="63">
        <v>1</v>
      </c>
      <c r="K30" s="63">
        <v>1</v>
      </c>
      <c r="L30" s="63">
        <v>1</v>
      </c>
      <c r="M30" s="63">
        <v>1</v>
      </c>
      <c r="N30" s="63">
        <v>1</v>
      </c>
      <c r="O30" s="63">
        <v>1</v>
      </c>
      <c r="P30" s="63">
        <v>1</v>
      </c>
      <c r="Q30" s="63">
        <v>1</v>
      </c>
      <c r="R30" s="63">
        <v>1</v>
      </c>
      <c r="S30" s="63">
        <v>1</v>
      </c>
      <c r="T30" s="29"/>
    </row>
    <row r="31" spans="2:20" x14ac:dyDescent="0.25">
      <c r="B31" s="61" t="s">
        <v>123</v>
      </c>
      <c r="C31" s="64"/>
      <c r="D31" s="48"/>
      <c r="E31" s="48"/>
      <c r="F31" s="48"/>
      <c r="G31" s="61"/>
      <c r="H31" s="61"/>
      <c r="I31" s="63">
        <v>1</v>
      </c>
      <c r="J31" s="63">
        <v>1</v>
      </c>
      <c r="K31" s="63">
        <v>1</v>
      </c>
      <c r="L31" s="63">
        <v>1</v>
      </c>
      <c r="M31" s="63">
        <v>1</v>
      </c>
      <c r="N31" s="63">
        <v>1</v>
      </c>
      <c r="O31" s="63">
        <v>1</v>
      </c>
      <c r="P31" s="63">
        <v>1</v>
      </c>
      <c r="Q31" s="63">
        <v>1</v>
      </c>
      <c r="R31" s="63">
        <v>1</v>
      </c>
      <c r="S31" s="63">
        <v>1</v>
      </c>
      <c r="T31" s="29"/>
    </row>
    <row r="32" spans="2:20" x14ac:dyDescent="0.25">
      <c r="B32" s="61" t="s">
        <v>118</v>
      </c>
      <c r="C32" s="64"/>
      <c r="D32" s="64"/>
      <c r="E32" s="64"/>
      <c r="F32" s="64"/>
      <c r="G32" s="61"/>
      <c r="H32" s="61"/>
      <c r="I32" s="63">
        <v>1</v>
      </c>
      <c r="J32" s="63">
        <v>1</v>
      </c>
      <c r="K32" s="63">
        <v>1</v>
      </c>
      <c r="L32" s="63">
        <v>1</v>
      </c>
      <c r="M32" s="63">
        <v>1</v>
      </c>
      <c r="N32" s="63">
        <v>1</v>
      </c>
      <c r="O32" s="63">
        <v>1</v>
      </c>
      <c r="P32" s="63">
        <v>1</v>
      </c>
      <c r="Q32" s="63">
        <v>1</v>
      </c>
      <c r="R32" s="63">
        <v>1</v>
      </c>
      <c r="S32" s="63">
        <v>1</v>
      </c>
      <c r="T32" s="29"/>
    </row>
    <row r="33" spans="2:20" x14ac:dyDescent="0.25">
      <c r="B33" s="61" t="s">
        <v>120</v>
      </c>
      <c r="C33" s="64"/>
      <c r="D33" s="64"/>
      <c r="E33" s="64"/>
      <c r="F33" s="64"/>
      <c r="G33" s="61"/>
      <c r="H33" s="61"/>
      <c r="I33" s="63">
        <v>1</v>
      </c>
      <c r="J33" s="63">
        <v>1</v>
      </c>
      <c r="K33" s="63">
        <v>1</v>
      </c>
      <c r="L33" s="63">
        <v>1</v>
      </c>
      <c r="M33" s="63">
        <v>1</v>
      </c>
      <c r="N33" s="63">
        <v>1</v>
      </c>
      <c r="O33" s="63">
        <v>1</v>
      </c>
      <c r="P33" s="63">
        <v>1</v>
      </c>
      <c r="Q33" s="63">
        <v>1</v>
      </c>
      <c r="R33" s="63">
        <v>1</v>
      </c>
      <c r="S33" s="63">
        <v>1</v>
      </c>
      <c r="T33" s="29"/>
    </row>
    <row r="34" spans="2:20" x14ac:dyDescent="0.25">
      <c r="B34" s="61" t="s">
        <v>119</v>
      </c>
      <c r="C34" s="64"/>
      <c r="D34" s="64"/>
      <c r="E34" s="64"/>
      <c r="F34" s="64"/>
      <c r="G34" s="61"/>
      <c r="H34" s="61"/>
      <c r="I34" s="63">
        <v>1</v>
      </c>
      <c r="J34" s="63">
        <v>1</v>
      </c>
      <c r="K34" s="63">
        <v>1</v>
      </c>
      <c r="L34" s="63">
        <v>1</v>
      </c>
      <c r="M34" s="63">
        <v>1</v>
      </c>
      <c r="N34" s="63">
        <v>1</v>
      </c>
      <c r="O34" s="63">
        <v>1</v>
      </c>
      <c r="P34" s="63">
        <v>1</v>
      </c>
      <c r="Q34" s="63">
        <v>1</v>
      </c>
      <c r="R34" s="63">
        <v>1</v>
      </c>
      <c r="S34" s="63">
        <v>1</v>
      </c>
      <c r="T34" s="29"/>
    </row>
    <row r="35" spans="2:20" x14ac:dyDescent="0.25">
      <c r="B35" s="61" t="s">
        <v>116</v>
      </c>
      <c r="C35" s="64"/>
      <c r="D35" s="64"/>
      <c r="E35" s="64"/>
      <c r="F35" s="64"/>
      <c r="G35" s="61"/>
      <c r="H35" s="61"/>
      <c r="I35" s="63">
        <v>1</v>
      </c>
      <c r="J35" s="63">
        <v>1</v>
      </c>
      <c r="K35" s="63">
        <v>1</v>
      </c>
      <c r="L35" s="63">
        <v>1</v>
      </c>
      <c r="M35" s="63">
        <v>1</v>
      </c>
      <c r="N35" s="63">
        <v>1</v>
      </c>
      <c r="O35" s="63">
        <v>1</v>
      </c>
      <c r="P35" s="63">
        <v>1</v>
      </c>
      <c r="Q35" s="63">
        <v>1</v>
      </c>
      <c r="R35" s="63">
        <v>1</v>
      </c>
      <c r="S35" s="63">
        <v>1</v>
      </c>
      <c r="T35" s="29"/>
    </row>
    <row r="36" spans="2:20" x14ac:dyDescent="0.25">
      <c r="B36" s="61"/>
      <c r="C36" s="64"/>
      <c r="D36" s="64"/>
      <c r="E36" s="64"/>
      <c r="F36" s="64"/>
      <c r="G36" s="61"/>
      <c r="H36" s="61"/>
      <c r="I36" s="64"/>
      <c r="J36" s="64"/>
      <c r="K36" s="62"/>
      <c r="L36" s="62"/>
      <c r="M36" s="62"/>
      <c r="N36" s="62"/>
      <c r="O36" s="62"/>
      <c r="P36" s="62"/>
      <c r="Q36" s="62"/>
      <c r="R36" s="62"/>
      <c r="S36" s="62"/>
      <c r="T36" s="29"/>
    </row>
    <row r="37" spans="2:20" x14ac:dyDescent="0.25">
      <c r="B37" s="60" t="s">
        <v>73</v>
      </c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29"/>
    </row>
    <row r="38" spans="2:20" x14ac:dyDescent="0.25">
      <c r="B38" s="61" t="s">
        <v>117</v>
      </c>
      <c r="C38" s="64"/>
      <c r="D38" s="64"/>
      <c r="E38" s="64"/>
      <c r="F38" s="64"/>
      <c r="G38" s="61"/>
      <c r="H38" s="61"/>
      <c r="I38" s="63">
        <v>0.98</v>
      </c>
      <c r="J38" s="63">
        <v>0.98</v>
      </c>
      <c r="K38" s="63">
        <v>0.98</v>
      </c>
      <c r="L38" s="63">
        <v>0.98</v>
      </c>
      <c r="M38" s="63">
        <v>0.98</v>
      </c>
      <c r="N38" s="63">
        <v>0.98</v>
      </c>
      <c r="O38" s="63">
        <v>0.98</v>
      </c>
      <c r="P38" s="63">
        <v>0.98</v>
      </c>
      <c r="Q38" s="63">
        <v>0.98</v>
      </c>
      <c r="R38" s="63">
        <v>0.98</v>
      </c>
      <c r="S38" s="63">
        <v>0.98</v>
      </c>
      <c r="T38" s="29"/>
    </row>
    <row r="39" spans="2:20" x14ac:dyDescent="0.25">
      <c r="B39" s="61" t="s">
        <v>123</v>
      </c>
      <c r="C39" s="64"/>
      <c r="D39" s="48"/>
      <c r="E39" s="48"/>
      <c r="F39" s="48"/>
      <c r="G39" s="61"/>
      <c r="H39" s="61"/>
      <c r="I39" s="63">
        <v>0.98</v>
      </c>
      <c r="J39" s="63">
        <v>0.98</v>
      </c>
      <c r="K39" s="63">
        <v>0.98</v>
      </c>
      <c r="L39" s="63">
        <v>0.98</v>
      </c>
      <c r="M39" s="63">
        <v>0.98</v>
      </c>
      <c r="N39" s="63">
        <v>0.98</v>
      </c>
      <c r="O39" s="63">
        <v>0.98</v>
      </c>
      <c r="P39" s="63">
        <v>0.98</v>
      </c>
      <c r="Q39" s="63">
        <v>0.98</v>
      </c>
      <c r="R39" s="63">
        <v>0.98</v>
      </c>
      <c r="S39" s="63">
        <v>0.98</v>
      </c>
      <c r="T39" s="29"/>
    </row>
    <row r="40" spans="2:20" x14ac:dyDescent="0.25">
      <c r="B40" s="61" t="s">
        <v>118</v>
      </c>
      <c r="C40" s="64"/>
      <c r="D40" s="64"/>
      <c r="E40" s="64"/>
      <c r="F40" s="64"/>
      <c r="G40" s="61"/>
      <c r="H40" s="61"/>
      <c r="I40" s="63">
        <v>0.98</v>
      </c>
      <c r="J40" s="63">
        <v>0.98</v>
      </c>
      <c r="K40" s="63">
        <v>0.98</v>
      </c>
      <c r="L40" s="63">
        <v>0.98</v>
      </c>
      <c r="M40" s="63">
        <v>0.98</v>
      </c>
      <c r="N40" s="63">
        <v>0.98</v>
      </c>
      <c r="O40" s="63">
        <v>0.98</v>
      </c>
      <c r="P40" s="63">
        <v>0.98</v>
      </c>
      <c r="Q40" s="63">
        <v>0.98</v>
      </c>
      <c r="R40" s="63">
        <v>0.98</v>
      </c>
      <c r="S40" s="63">
        <v>0.98</v>
      </c>
      <c r="T40" s="29"/>
    </row>
    <row r="41" spans="2:20" x14ac:dyDescent="0.25">
      <c r="B41" s="61" t="s">
        <v>120</v>
      </c>
      <c r="C41" s="64"/>
      <c r="D41" s="64"/>
      <c r="E41" s="64"/>
      <c r="F41" s="64"/>
      <c r="G41" s="61"/>
      <c r="H41" s="61"/>
      <c r="I41" s="63">
        <v>0.98</v>
      </c>
      <c r="J41" s="63">
        <v>0.98</v>
      </c>
      <c r="K41" s="63">
        <v>0.98</v>
      </c>
      <c r="L41" s="63">
        <v>0.98</v>
      </c>
      <c r="M41" s="63">
        <v>0.98</v>
      </c>
      <c r="N41" s="63">
        <v>0.98</v>
      </c>
      <c r="O41" s="63">
        <v>0.98</v>
      </c>
      <c r="P41" s="63">
        <v>0.98</v>
      </c>
      <c r="Q41" s="63">
        <v>0.98</v>
      </c>
      <c r="R41" s="63">
        <v>0.98</v>
      </c>
      <c r="S41" s="63">
        <v>0.98</v>
      </c>
      <c r="T41" s="29"/>
    </row>
    <row r="42" spans="2:20" x14ac:dyDescent="0.25">
      <c r="B42" s="61" t="s">
        <v>119</v>
      </c>
      <c r="C42" s="64"/>
      <c r="D42" s="64"/>
      <c r="E42" s="64"/>
      <c r="F42" s="64"/>
      <c r="G42" s="61"/>
      <c r="H42" s="61"/>
      <c r="I42" s="63">
        <v>0.98</v>
      </c>
      <c r="J42" s="63">
        <v>0.98</v>
      </c>
      <c r="K42" s="63">
        <v>0.98</v>
      </c>
      <c r="L42" s="63">
        <v>0.98</v>
      </c>
      <c r="M42" s="63">
        <v>0.98</v>
      </c>
      <c r="N42" s="63">
        <v>0.98</v>
      </c>
      <c r="O42" s="63">
        <v>0.98</v>
      </c>
      <c r="P42" s="63">
        <v>0.98</v>
      </c>
      <c r="Q42" s="63">
        <v>0.98</v>
      </c>
      <c r="R42" s="63">
        <v>0.98</v>
      </c>
      <c r="S42" s="63">
        <v>0.98</v>
      </c>
      <c r="T42" s="29"/>
    </row>
    <row r="43" spans="2:20" x14ac:dyDescent="0.25">
      <c r="B43" s="61" t="s">
        <v>116</v>
      </c>
      <c r="C43" s="64"/>
      <c r="D43" s="64"/>
      <c r="E43" s="64"/>
      <c r="F43" s="64"/>
      <c r="G43" s="61"/>
      <c r="H43" s="61"/>
      <c r="I43" s="63">
        <v>0.98</v>
      </c>
      <c r="J43" s="63">
        <v>0.98</v>
      </c>
      <c r="K43" s="63">
        <v>0.98</v>
      </c>
      <c r="L43" s="63">
        <v>0.98</v>
      </c>
      <c r="M43" s="63">
        <v>0.98</v>
      </c>
      <c r="N43" s="63">
        <v>0.98</v>
      </c>
      <c r="O43" s="63">
        <v>0.98</v>
      </c>
      <c r="P43" s="63">
        <v>0.98</v>
      </c>
      <c r="Q43" s="63">
        <v>0.98</v>
      </c>
      <c r="R43" s="63">
        <v>0.98</v>
      </c>
      <c r="S43" s="63">
        <v>0.98</v>
      </c>
      <c r="T43" s="29"/>
    </row>
    <row r="44" spans="2:20" x14ac:dyDescent="0.25">
      <c r="B44" s="61"/>
      <c r="C44" s="64"/>
      <c r="D44" s="64"/>
      <c r="E44" s="64"/>
      <c r="F44" s="64"/>
      <c r="G44" s="61"/>
      <c r="H44" s="61"/>
      <c r="I44" s="64"/>
      <c r="J44" s="64"/>
      <c r="K44" s="62"/>
      <c r="L44" s="62"/>
      <c r="M44" s="62"/>
      <c r="N44" s="62"/>
      <c r="O44" s="62"/>
      <c r="P44" s="62"/>
      <c r="Q44" s="62"/>
      <c r="R44" s="62"/>
      <c r="S44" s="62"/>
      <c r="T44" s="29"/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E9868-859F-464E-ADB8-0E029C9E63C1}">
  <dimension ref="A1:H21"/>
  <sheetViews>
    <sheetView workbookViewId="0">
      <selection activeCell="I38" sqref="I38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6" width="9.109375" style="8"/>
    <col min="7" max="7" width="2" style="8" customWidth="1"/>
    <col min="8" max="16384" width="9.109375" style="8"/>
  </cols>
  <sheetData>
    <row r="1" spans="1:8" ht="15.6" x14ac:dyDescent="0.25">
      <c r="A1" s="1"/>
      <c r="B1" s="2" t="s">
        <v>148</v>
      </c>
    </row>
    <row r="2" spans="1:8" ht="15.6" x14ac:dyDescent="0.25">
      <c r="A2" s="1"/>
      <c r="B2" s="2"/>
    </row>
    <row r="3" spans="1:8" ht="13.2" x14ac:dyDescent="0.25">
      <c r="A3" s="1"/>
      <c r="B3" s="71" t="s">
        <v>142</v>
      </c>
    </row>
    <row r="5" spans="1:8" ht="24" x14ac:dyDescent="0.25">
      <c r="B5" s="30" t="s">
        <v>114</v>
      </c>
      <c r="C5" s="30" t="s">
        <v>140</v>
      </c>
      <c r="D5" s="31" t="s">
        <v>145</v>
      </c>
      <c r="E5" s="31" t="s">
        <v>146</v>
      </c>
      <c r="F5" s="31" t="s">
        <v>147</v>
      </c>
      <c r="G5" s="68"/>
      <c r="H5" s="31" t="s">
        <v>141</v>
      </c>
    </row>
    <row r="6" spans="1:8" x14ac:dyDescent="0.25">
      <c r="B6" s="8" t="s">
        <v>117</v>
      </c>
      <c r="C6" s="8" t="s">
        <v>149</v>
      </c>
      <c r="D6" s="16">
        <f>(133449-114869)/133449</f>
        <v>0.13922921865281868</v>
      </c>
      <c r="E6" s="16">
        <f>(135782-125025)/135782</f>
        <v>7.9222577366661259E-2</v>
      </c>
      <c r="F6" s="16">
        <f>(110934-93975)/110934</f>
        <v>0.15287468224349612</v>
      </c>
      <c r="G6" s="68"/>
      <c r="H6" s="73">
        <f t="shared" ref="H6:H11" si="0">AVERAGE(D6:F6)</f>
        <v>0.12377549275432535</v>
      </c>
    </row>
    <row r="7" spans="1:8" x14ac:dyDescent="0.25">
      <c r="B7" s="8" t="s">
        <v>123</v>
      </c>
      <c r="C7" s="8" t="s">
        <v>150</v>
      </c>
      <c r="D7" s="74">
        <v>0.184</v>
      </c>
      <c r="E7" s="74">
        <v>0.20799999999999999</v>
      </c>
      <c r="F7" s="74">
        <f>36335/196949</f>
        <v>0.18448938557697678</v>
      </c>
      <c r="G7" s="68"/>
      <c r="H7" s="73">
        <f t="shared" si="0"/>
        <v>0.19216312852565895</v>
      </c>
    </row>
    <row r="8" spans="1:8" x14ac:dyDescent="0.25">
      <c r="B8" s="8" t="s">
        <v>118</v>
      </c>
      <c r="C8" s="8" t="s">
        <v>150</v>
      </c>
      <c r="D8" s="74">
        <v>0.184</v>
      </c>
      <c r="E8" s="74">
        <v>0.20799999999999999</v>
      </c>
      <c r="F8" s="74">
        <f>36335/196949</f>
        <v>0.18448938557697678</v>
      </c>
      <c r="G8" s="68"/>
      <c r="H8" s="73">
        <f t="shared" si="0"/>
        <v>0.19216312852565895</v>
      </c>
    </row>
    <row r="9" spans="1:8" x14ac:dyDescent="0.25">
      <c r="B9" s="8" t="s">
        <v>120</v>
      </c>
      <c r="C9" s="8" t="s">
        <v>151</v>
      </c>
      <c r="D9" s="74">
        <f>(24339-15071)/24339</f>
        <v>0.38078803566292779</v>
      </c>
      <c r="E9" s="74">
        <f>6619/23491</f>
        <v>0.28176748541994806</v>
      </c>
      <c r="F9" s="74">
        <f>(3416890-1650860)/(3416890)</f>
        <v>0.51685304472780802</v>
      </c>
      <c r="G9" s="68"/>
      <c r="H9" s="73">
        <f t="shared" si="0"/>
        <v>0.39313618860356131</v>
      </c>
    </row>
    <row r="10" spans="1:8" x14ac:dyDescent="0.25">
      <c r="B10" s="8" t="s">
        <v>119</v>
      </c>
      <c r="C10" s="8" t="s">
        <v>149</v>
      </c>
      <c r="D10" s="16">
        <f>(133449-114869)/133449</f>
        <v>0.13922921865281868</v>
      </c>
      <c r="E10" s="16">
        <f>(135782-125025)/135782</f>
        <v>7.9222577366661259E-2</v>
      </c>
      <c r="F10" s="16">
        <f>(110934-93975)/110934</f>
        <v>0.15287468224349612</v>
      </c>
      <c r="G10" s="68"/>
      <c r="H10" s="73">
        <f t="shared" si="0"/>
        <v>0.12377549275432535</v>
      </c>
    </row>
    <row r="11" spans="1:8" x14ac:dyDescent="0.25">
      <c r="B11" s="8" t="s">
        <v>116</v>
      </c>
      <c r="C11" s="8" t="s">
        <v>152</v>
      </c>
      <c r="D11" s="16">
        <f>29475/119713</f>
        <v>0.24621386148538588</v>
      </c>
      <c r="E11" s="16">
        <f>2671/14342</f>
        <v>0.1862362292567285</v>
      </c>
      <c r="F11" s="16">
        <f>(18187.5-15593.7)/18187.5</f>
        <v>0.14261443298969068</v>
      </c>
      <c r="G11" s="68"/>
      <c r="H11" s="73">
        <f t="shared" si="0"/>
        <v>0.19168817457726836</v>
      </c>
    </row>
    <row r="13" spans="1:8" x14ac:dyDescent="0.25">
      <c r="B13" s="8" t="s">
        <v>143</v>
      </c>
    </row>
    <row r="14" spans="1:8" x14ac:dyDescent="0.25">
      <c r="F14" s="8" t="s">
        <v>144</v>
      </c>
    </row>
    <row r="15" spans="1:8" ht="12" x14ac:dyDescent="0.25">
      <c r="B15" s="30" t="s">
        <v>114</v>
      </c>
      <c r="C15" s="30" t="s">
        <v>141</v>
      </c>
    </row>
    <row r="16" spans="1:8" x14ac:dyDescent="0.25">
      <c r="B16" s="8" t="s">
        <v>117</v>
      </c>
      <c r="C16" s="8" t="s">
        <v>65</v>
      </c>
    </row>
    <row r="17" spans="2:3" x14ac:dyDescent="0.25">
      <c r="B17" s="8" t="s">
        <v>123</v>
      </c>
      <c r="C17" s="72">
        <f>AVERAGE('P&amp;L Input'!C29:F29)</f>
        <v>0.25321088044477918</v>
      </c>
    </row>
    <row r="18" spans="2:3" x14ac:dyDescent="0.25">
      <c r="B18" s="8" t="s">
        <v>118</v>
      </c>
      <c r="C18" s="8" t="s">
        <v>65</v>
      </c>
    </row>
    <row r="19" spans="2:3" x14ac:dyDescent="0.25">
      <c r="B19" s="8" t="s">
        <v>120</v>
      </c>
      <c r="C19" s="8" t="s">
        <v>65</v>
      </c>
    </row>
    <row r="20" spans="2:3" x14ac:dyDescent="0.25">
      <c r="B20" s="8" t="s">
        <v>119</v>
      </c>
      <c r="C20" s="8" t="s">
        <v>65</v>
      </c>
    </row>
    <row r="21" spans="2:3" x14ac:dyDescent="0.25">
      <c r="B21" s="8" t="s">
        <v>116</v>
      </c>
      <c r="C21" s="8" t="s">
        <v>65</v>
      </c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D4F3-D3B3-4DDE-B126-1DBAF579A708}">
  <dimension ref="A1:S44"/>
  <sheetViews>
    <sheetView workbookViewId="0">
      <selection activeCell="L6" sqref="L6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77</v>
      </c>
    </row>
    <row r="2" spans="1:19" ht="15.6" x14ac:dyDescent="0.25">
      <c r="A2" s="1"/>
      <c r="B2" s="2"/>
    </row>
    <row r="3" spans="1:19" ht="12" x14ac:dyDescent="0.25">
      <c r="C3" s="136" t="s">
        <v>154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4" spans="1:19" ht="24" x14ac:dyDescent="0.25">
      <c r="B4" s="30" t="s">
        <v>114</v>
      </c>
      <c r="C4" s="6" t="s">
        <v>45</v>
      </c>
      <c r="D4" s="6" t="s">
        <v>46</v>
      </c>
      <c r="E4" s="6" t="s">
        <v>47</v>
      </c>
      <c r="F4" s="6" t="s">
        <v>107</v>
      </c>
      <c r="G4" s="6" t="s">
        <v>115</v>
      </c>
      <c r="H4" s="67" t="s">
        <v>126</v>
      </c>
      <c r="I4" s="67" t="s">
        <v>125</v>
      </c>
      <c r="J4" s="67" t="s">
        <v>127</v>
      </c>
      <c r="K4" s="67" t="s">
        <v>128</v>
      </c>
      <c r="L4" s="67" t="s">
        <v>129</v>
      </c>
      <c r="M4" s="67" t="s">
        <v>130</v>
      </c>
      <c r="N4" s="67" t="s">
        <v>131</v>
      </c>
      <c r="O4" s="67" t="s">
        <v>204</v>
      </c>
      <c r="P4" s="67" t="s">
        <v>205</v>
      </c>
      <c r="Q4" s="67" t="s">
        <v>206</v>
      </c>
      <c r="R4" s="67" t="s">
        <v>207</v>
      </c>
      <c r="S4" s="67" t="s">
        <v>208</v>
      </c>
    </row>
    <row r="5" spans="1:19" x14ac:dyDescent="0.25">
      <c r="B5" s="8" t="s">
        <v>117</v>
      </c>
      <c r="C5" s="42" t="s">
        <v>65</v>
      </c>
      <c r="D5" s="42" t="s">
        <v>65</v>
      </c>
      <c r="E5" s="42" t="s">
        <v>65</v>
      </c>
      <c r="F5" s="42" t="s">
        <v>65</v>
      </c>
      <c r="G5" s="42" t="s">
        <v>65</v>
      </c>
      <c r="H5" s="59">
        <f>H14*'Revenue automotive'!H5</f>
        <v>540.65135235089315</v>
      </c>
      <c r="I5" s="43" t="s">
        <v>65</v>
      </c>
      <c r="J5" s="59">
        <f>J14*'Revenue automotive'!J5</f>
        <v>1351.6283808772328</v>
      </c>
      <c r="K5" s="59">
        <f>K14*'Revenue automotive'!K5</f>
        <v>2162.6054094035726</v>
      </c>
      <c r="L5" s="59">
        <f>L14*'Revenue automotive'!L5</f>
        <v>2378.8659503439303</v>
      </c>
      <c r="M5" s="59">
        <f>M14*'Revenue automotive'!M5</f>
        <v>2616.7525453783232</v>
      </c>
      <c r="N5" s="59">
        <f>N14*'Revenue automotive'!N5</f>
        <v>2747.5901726472393</v>
      </c>
      <c r="O5" s="59">
        <f>O14*'Revenue automotive'!O5</f>
        <v>2884.9696812796019</v>
      </c>
      <c r="P5" s="59">
        <f>P14*'Revenue automotive'!P5</f>
        <v>2942.6690749051932</v>
      </c>
      <c r="Q5" s="59">
        <f>Q14*'Revenue automotive'!Q5</f>
        <v>3001.5224564032974</v>
      </c>
      <c r="R5" s="59">
        <f>R14*'Revenue automotive'!R5</f>
        <v>3061.5529055313636</v>
      </c>
      <c r="S5" s="59">
        <f>S14*'Revenue automotive'!S5</f>
        <v>3122.7839636419908</v>
      </c>
    </row>
    <row r="6" spans="1:19" x14ac:dyDescent="0.25">
      <c r="B6" s="8" t="s">
        <v>123</v>
      </c>
      <c r="C6" s="42" t="s">
        <v>65</v>
      </c>
      <c r="D6" s="42" t="s">
        <v>65</v>
      </c>
      <c r="E6" s="42" t="s">
        <v>65</v>
      </c>
      <c r="F6" s="42" t="s">
        <v>65</v>
      </c>
      <c r="G6" s="42" t="s">
        <v>65</v>
      </c>
      <c r="H6" s="59">
        <f>H15*'Revenue automotive'!H6</f>
        <v>939.91790240112937</v>
      </c>
      <c r="I6" s="43" t="s">
        <v>65</v>
      </c>
      <c r="J6" s="59">
        <f>J15*'Revenue automotive'!J6</f>
        <v>1715.0559220915061</v>
      </c>
      <c r="K6" s="59">
        <f>K15*'Revenue automotive'!K6</f>
        <v>1749.3570405333362</v>
      </c>
      <c r="L6" s="59">
        <f>L15*'Revenue automotive'!L6</f>
        <v>1784.3441813440029</v>
      </c>
      <c r="M6" s="59">
        <f>M15*'Revenue automotive'!M6</f>
        <v>1820.0310649708831</v>
      </c>
      <c r="N6" s="59">
        <f>N15*'Revenue automotive'!N6</f>
        <v>1856.4316862703008</v>
      </c>
      <c r="O6" s="59">
        <f>O15*'Revenue automotive'!O6</f>
        <v>1893.560319995707</v>
      </c>
      <c r="P6" s="59">
        <f>P15*'Revenue automotive'!P6</f>
        <v>1931.4315263956209</v>
      </c>
      <c r="Q6" s="59">
        <f>Q15*'Revenue automotive'!Q6</f>
        <v>1970.0601569235334</v>
      </c>
      <c r="R6" s="59">
        <f>R15*'Revenue automotive'!R6</f>
        <v>2009.4613600620044</v>
      </c>
      <c r="S6" s="59">
        <f>S15*'Revenue automotive'!S6</f>
        <v>2049.6505872632442</v>
      </c>
    </row>
    <row r="7" spans="1:19" x14ac:dyDescent="0.25">
      <c r="B7" s="8" t="s">
        <v>118</v>
      </c>
      <c r="C7" s="42">
        <v>0</v>
      </c>
      <c r="D7" s="42">
        <v>0</v>
      </c>
      <c r="E7" s="42">
        <v>0</v>
      </c>
      <c r="F7" s="42">
        <v>0</v>
      </c>
      <c r="G7" s="58">
        <f>G16*'Revenue automotive'!G7</f>
        <v>0</v>
      </c>
      <c r="H7" s="59">
        <f>H16*'Revenue automotive'!H7</f>
        <v>0</v>
      </c>
      <c r="I7" s="59">
        <f t="shared" ref="I7:I10" si="0">G7+H7</f>
        <v>0</v>
      </c>
      <c r="J7" s="59">
        <f>J16*'Revenue automotive'!J7</f>
        <v>16.948787935963121</v>
      </c>
      <c r="K7" s="59">
        <f>K16*'Revenue automotive'!K7</f>
        <v>1255.0173924010785</v>
      </c>
      <c r="L7" s="59">
        <f>L16*'Revenue automotive'!L7</f>
        <v>2498.1206708335662</v>
      </c>
      <c r="M7" s="59">
        <f>M16*'Revenue automotive'!M7</f>
        <v>3996.993073333706</v>
      </c>
      <c r="N7" s="59">
        <f>N16*'Revenue automotive'!N7</f>
        <v>4396.6923806670775</v>
      </c>
      <c r="O7" s="59">
        <f>O16*'Revenue automotive'!O7</f>
        <v>4836.3616187337857</v>
      </c>
      <c r="P7" s="59">
        <f>P16*'Revenue automotive'!P7</f>
        <v>5078.1796996704752</v>
      </c>
      <c r="Q7" s="59">
        <f>Q16*'Revenue automotive'!Q7</f>
        <v>5332.0886846539988</v>
      </c>
      <c r="R7" s="59">
        <f>R16*'Revenue automotive'!R7</f>
        <v>5438.7304583470786</v>
      </c>
      <c r="S7" s="59">
        <f>S16*'Revenue automotive'!S7</f>
        <v>5547.5050675140201</v>
      </c>
    </row>
    <row r="8" spans="1:19" x14ac:dyDescent="0.25">
      <c r="B8" s="8" t="s">
        <v>120</v>
      </c>
      <c r="C8" s="42">
        <v>0</v>
      </c>
      <c r="D8" s="42">
        <v>0</v>
      </c>
      <c r="E8" s="42">
        <v>0</v>
      </c>
      <c r="F8" s="42">
        <v>0</v>
      </c>
      <c r="G8" s="58">
        <f>G17*'Revenue automotive'!G8</f>
        <v>0</v>
      </c>
      <c r="H8" s="59">
        <f>H17*'Revenue automotive'!H8</f>
        <v>0</v>
      </c>
      <c r="I8" s="59">
        <f t="shared" si="0"/>
        <v>0</v>
      </c>
      <c r="J8" s="59">
        <f>J17*'Revenue automotive'!J8</f>
        <v>0</v>
      </c>
      <c r="K8" s="59">
        <f>K17*'Revenue automotive'!K8</f>
        <v>45.210661689409548</v>
      </c>
      <c r="L8" s="59">
        <f>L17*'Revenue automotive'!L8</f>
        <v>90.421323378819096</v>
      </c>
      <c r="M8" s="59">
        <f>M17*'Revenue automotive'!M8</f>
        <v>135.63198506822866</v>
      </c>
      <c r="N8" s="59">
        <f>N17*'Revenue automotive'!N8</f>
        <v>149.19518357505154</v>
      </c>
      <c r="O8" s="59">
        <f>O17*'Revenue automotive'!O8</f>
        <v>164.1147019325567</v>
      </c>
      <c r="P8" s="59">
        <f>P17*'Revenue automotive'!P8</f>
        <v>172.32043702918455</v>
      </c>
      <c r="Q8" s="59">
        <f>Q17*'Revenue automotive'!Q8</f>
        <v>180.93645888064378</v>
      </c>
      <c r="R8" s="59">
        <f>R17*'Revenue automotive'!R8</f>
        <v>184.55518805825668</v>
      </c>
      <c r="S8" s="59">
        <f>S17*'Revenue automotive'!S8</f>
        <v>188.2462918194218</v>
      </c>
    </row>
    <row r="9" spans="1:19" x14ac:dyDescent="0.25">
      <c r="B9" s="8" t="s">
        <v>119</v>
      </c>
      <c r="C9" s="42">
        <v>0</v>
      </c>
      <c r="D9" s="42">
        <v>0</v>
      </c>
      <c r="E9" s="42">
        <v>0</v>
      </c>
      <c r="F9" s="42">
        <v>0</v>
      </c>
      <c r="G9" s="58">
        <f>G18*'Revenue automotive'!G9</f>
        <v>0</v>
      </c>
      <c r="H9" s="59">
        <f>H18*'Revenue automotive'!H9</f>
        <v>0</v>
      </c>
      <c r="I9" s="59">
        <f t="shared" si="0"/>
        <v>0</v>
      </c>
      <c r="J9" s="59">
        <f>J18*'Revenue automotive'!J9</f>
        <v>1.9494640108806243</v>
      </c>
      <c r="K9" s="59">
        <f>K18*'Revenue automotive'!K9</f>
        <v>144.35316842473193</v>
      </c>
      <c r="L9" s="59">
        <f>L18*'Revenue automotive'!L9</f>
        <v>287.33596532254103</v>
      </c>
      <c r="M9" s="59">
        <f>M18*'Revenue automotive'!M9</f>
        <v>459.73754451606573</v>
      </c>
      <c r="N9" s="59">
        <f>N18*'Revenue automotive'!N9</f>
        <v>505.71129896767229</v>
      </c>
      <c r="O9" s="59">
        <f>O18*'Revenue automotive'!O9</f>
        <v>556.28242886443968</v>
      </c>
      <c r="P9" s="59">
        <f>P18*'Revenue automotive'!P9</f>
        <v>584.09655030766157</v>
      </c>
      <c r="Q9" s="59">
        <f>Q18*'Revenue automotive'!Q9</f>
        <v>613.30137782304473</v>
      </c>
      <c r="R9" s="59">
        <f>R18*'Revenue automotive'!R9</f>
        <v>625.56740537950566</v>
      </c>
      <c r="S9" s="59">
        <f>S18*'Revenue automotive'!S9</f>
        <v>638.0787534870957</v>
      </c>
    </row>
    <row r="10" spans="1:19" x14ac:dyDescent="0.25">
      <c r="B10" s="8" t="s">
        <v>116</v>
      </c>
      <c r="C10" s="42">
        <v>0</v>
      </c>
      <c r="D10" s="42">
        <v>0</v>
      </c>
      <c r="E10" s="42">
        <v>0</v>
      </c>
      <c r="F10" s="42">
        <v>0</v>
      </c>
      <c r="G10" s="58">
        <f>G19*'Revenue automotive'!G10</f>
        <v>0</v>
      </c>
      <c r="H10" s="59">
        <f>H19*'Revenue automotive'!H10</f>
        <v>0</v>
      </c>
      <c r="I10" s="59">
        <f t="shared" si="0"/>
        <v>0</v>
      </c>
      <c r="J10" s="59">
        <f>J19*'Revenue automotive'!J10</f>
        <v>9.5844087288634174</v>
      </c>
      <c r="K10" s="59">
        <f>K19*'Revenue automotive'!K10</f>
        <v>709.7026463515532</v>
      </c>
      <c r="L10" s="59">
        <f>L19*'Revenue automotive'!L10</f>
        <v>1412.6679532338374</v>
      </c>
      <c r="M10" s="59">
        <f>M19*'Revenue automotive'!M10</f>
        <v>2260.2687251741399</v>
      </c>
      <c r="N10" s="59">
        <f>N19*'Revenue automotive'!N10</f>
        <v>2486.2955976915541</v>
      </c>
      <c r="O10" s="59">
        <f>O19*'Revenue automotive'!O10</f>
        <v>2734.9251574607097</v>
      </c>
      <c r="P10" s="59">
        <f>P19*'Revenue automotive'!P10</f>
        <v>2871.6714153337452</v>
      </c>
      <c r="Q10" s="59">
        <f>Q19*'Revenue automotive'!Q10</f>
        <v>3015.2549861004331</v>
      </c>
      <c r="R10" s="59">
        <f>R19*'Revenue automotive'!R10</f>
        <v>3075.5600858224416</v>
      </c>
      <c r="S10" s="59">
        <f>S19*'Revenue automotive'!S10</f>
        <v>3137.0712875388904</v>
      </c>
    </row>
    <row r="11" spans="1:19" ht="12.6" thickBot="1" x14ac:dyDescent="0.3">
      <c r="B11" s="85" t="s">
        <v>69</v>
      </c>
      <c r="C11" s="96">
        <f>('P&amp;L Input'!C4+'P&amp;L Input'!C8)/1000</f>
        <v>861.26300000000003</v>
      </c>
      <c r="D11" s="96">
        <f>('P&amp;L Input'!D4+'P&amp;L Input'!D8)/1000</f>
        <v>917.67100000000005</v>
      </c>
      <c r="E11" s="96">
        <f>('P&amp;L Input'!E4+'P&amp;L Input'!E8)/1000</f>
        <v>1600.6849999999999</v>
      </c>
      <c r="F11" s="96">
        <f>('P&amp;L Input'!F4+'P&amp;L Input'!F8)/1000</f>
        <v>2208.596</v>
      </c>
      <c r="G11" s="96">
        <f>('P&amp;L Input'!G4+'P&amp;L Input'!G8)/1000</f>
        <v>1230.451</v>
      </c>
      <c r="H11" s="96">
        <f t="shared" ref="H11:N11" si="1">SUM(H5:H10)</f>
        <v>1480.5692547520225</v>
      </c>
      <c r="I11" s="96">
        <f>G11+H11</f>
        <v>2711.0202547520225</v>
      </c>
      <c r="J11" s="96">
        <f t="shared" si="1"/>
        <v>3095.1669636444458</v>
      </c>
      <c r="K11" s="96">
        <f t="shared" si="1"/>
        <v>6066.2463188036818</v>
      </c>
      <c r="L11" s="96">
        <f t="shared" si="1"/>
        <v>8451.7560444566952</v>
      </c>
      <c r="M11" s="96">
        <f t="shared" si="1"/>
        <v>11289.414938441347</v>
      </c>
      <c r="N11" s="96">
        <f t="shared" si="1"/>
        <v>12141.916319818894</v>
      </c>
      <c r="O11" s="96">
        <f t="shared" ref="O11:S11" si="2">SUM(O5:O10)</f>
        <v>13070.213908266798</v>
      </c>
      <c r="P11" s="96">
        <f t="shared" si="2"/>
        <v>13580.36870364188</v>
      </c>
      <c r="Q11" s="96">
        <f t="shared" si="2"/>
        <v>14113.164120784952</v>
      </c>
      <c r="R11" s="96">
        <f t="shared" si="2"/>
        <v>14395.427403200651</v>
      </c>
      <c r="S11" s="96">
        <f t="shared" si="2"/>
        <v>14683.335951264664</v>
      </c>
    </row>
    <row r="12" spans="1:19" ht="3" customHeight="1" x14ac:dyDescent="0.25"/>
    <row r="13" spans="1:19" x14ac:dyDescent="0.25">
      <c r="B13" s="60" t="s">
        <v>75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</row>
    <row r="14" spans="1:19" x14ac:dyDescent="0.25">
      <c r="B14" s="61" t="s">
        <v>117</v>
      </c>
      <c r="C14" s="64"/>
      <c r="D14" s="64"/>
      <c r="E14" s="64"/>
      <c r="F14" s="64"/>
      <c r="G14" s="63">
        <f>CHOOSE(Drivers!$C$3,'GP automotive'!G22,'GP automotive'!G30,'GP automotive'!G38)</f>
        <v>0.12377549275432535</v>
      </c>
      <c r="H14" s="63">
        <f>CHOOSE(Drivers!$C$3,'GP automotive'!H22,'GP automotive'!H30,'GP automotive'!H38)</f>
        <v>0.12377549275432535</v>
      </c>
      <c r="I14" s="63">
        <f>CHOOSE(Drivers!$C$3,'GP automotive'!I22,'GP automotive'!I30,'GP automotive'!I38)</f>
        <v>0.12377549275432535</v>
      </c>
      <c r="J14" s="63">
        <f>CHOOSE(Drivers!$C$3,'GP automotive'!J22,'GP automotive'!J30,'GP automotive'!J38)</f>
        <v>0.12377549275432535</v>
      </c>
      <c r="K14" s="63">
        <f>CHOOSE(Drivers!$C$3,'GP automotive'!K22,'GP automotive'!K30,'GP automotive'!K38)</f>
        <v>0.12377549275432535</v>
      </c>
      <c r="L14" s="63">
        <f>CHOOSE(Drivers!$C$3,'GP automotive'!L22,'GP automotive'!L30,'GP automotive'!L38)</f>
        <v>0.12377549275432535</v>
      </c>
      <c r="M14" s="63">
        <f>CHOOSE(Drivers!$C$3,'GP automotive'!M22,'GP automotive'!M30,'GP automotive'!M38)</f>
        <v>0.12377549275432535</v>
      </c>
      <c r="N14" s="63">
        <f>CHOOSE(Drivers!$C$3,'GP automotive'!N22,'GP automotive'!N30,'GP automotive'!N38)</f>
        <v>0.12377549275432535</v>
      </c>
      <c r="O14" s="63">
        <f>CHOOSE(Drivers!$C$3,'GP automotive'!O22,'GP automotive'!O30,'GP automotive'!O38)</f>
        <v>0.12377549275432535</v>
      </c>
      <c r="P14" s="63">
        <f>CHOOSE(Drivers!$C$3,'GP automotive'!P22,'GP automotive'!P30,'GP automotive'!P38)</f>
        <v>0.12377549275432535</v>
      </c>
      <c r="Q14" s="63">
        <f>CHOOSE(Drivers!$C$3,'GP automotive'!Q22,'GP automotive'!Q30,'GP automotive'!Q38)</f>
        <v>0.12377549275432535</v>
      </c>
      <c r="R14" s="63">
        <f>CHOOSE(Drivers!$C$3,'GP automotive'!R22,'GP automotive'!R30,'GP automotive'!R38)</f>
        <v>0.12377549275432535</v>
      </c>
      <c r="S14" s="63">
        <f>CHOOSE(Drivers!$C$3,'GP automotive'!S22,'GP automotive'!S30,'GP automotive'!S38)</f>
        <v>0.12377549275432535</v>
      </c>
    </row>
    <row r="15" spans="1:19" x14ac:dyDescent="0.25">
      <c r="B15" s="61" t="s">
        <v>123</v>
      </c>
      <c r="C15" s="64"/>
      <c r="D15" s="48"/>
      <c r="E15" s="48"/>
      <c r="F15" s="48"/>
      <c r="G15" s="63">
        <f>CHOOSE(Drivers!$C$3,'GP automotive'!G23,'GP automotive'!G31,'GP automotive'!G39)</f>
        <v>0.19216312852565895</v>
      </c>
      <c r="H15" s="63">
        <f>CHOOSE(Drivers!$C$3,'GP automotive'!H23,'GP automotive'!H31,'GP automotive'!H39)</f>
        <v>0.19216312852565895</v>
      </c>
      <c r="I15" s="63">
        <f>CHOOSE(Drivers!$C$3,'GP automotive'!I23,'GP automotive'!I31,'GP automotive'!I39)</f>
        <v>0.19216312852565895</v>
      </c>
      <c r="J15" s="63">
        <f>CHOOSE(Drivers!$C$3,'GP automotive'!J23,'GP automotive'!J31,'GP automotive'!J39)</f>
        <v>0.19216312852565895</v>
      </c>
      <c r="K15" s="63">
        <f>CHOOSE(Drivers!$C$3,'GP automotive'!K23,'GP automotive'!K31,'GP automotive'!K39)</f>
        <v>0.19216312852565895</v>
      </c>
      <c r="L15" s="63">
        <f>CHOOSE(Drivers!$C$3,'GP automotive'!L23,'GP automotive'!L31,'GP automotive'!L39)</f>
        <v>0.19216312852565895</v>
      </c>
      <c r="M15" s="63">
        <f>CHOOSE(Drivers!$C$3,'GP automotive'!M23,'GP automotive'!M31,'GP automotive'!M39)</f>
        <v>0.19216312852565895</v>
      </c>
      <c r="N15" s="63">
        <f>CHOOSE(Drivers!$C$3,'GP automotive'!N23,'GP automotive'!N31,'GP automotive'!N39)</f>
        <v>0.19216312852565895</v>
      </c>
      <c r="O15" s="63">
        <f>CHOOSE(Drivers!$C$3,'GP automotive'!O23,'GP automotive'!O31,'GP automotive'!O39)</f>
        <v>0.19216312852565895</v>
      </c>
      <c r="P15" s="63">
        <f>CHOOSE(Drivers!$C$3,'GP automotive'!P23,'GP automotive'!P31,'GP automotive'!P39)</f>
        <v>0.19216312852565895</v>
      </c>
      <c r="Q15" s="63">
        <f>CHOOSE(Drivers!$C$3,'GP automotive'!Q23,'GP automotive'!Q31,'GP automotive'!Q39)</f>
        <v>0.19216312852565895</v>
      </c>
      <c r="R15" s="63">
        <f>CHOOSE(Drivers!$C$3,'GP automotive'!R23,'GP automotive'!R31,'GP automotive'!R39)</f>
        <v>0.19216312852565895</v>
      </c>
      <c r="S15" s="63">
        <f>CHOOSE(Drivers!$C$3,'GP automotive'!S23,'GP automotive'!S31,'GP automotive'!S39)</f>
        <v>0.19216312852565895</v>
      </c>
    </row>
    <row r="16" spans="1:19" x14ac:dyDescent="0.25">
      <c r="B16" s="61" t="s">
        <v>118</v>
      </c>
      <c r="C16" s="64"/>
      <c r="D16" s="64"/>
      <c r="E16" s="64"/>
      <c r="F16" s="64"/>
      <c r="G16" s="63">
        <f>CHOOSE(Drivers!$C$3,'GP automotive'!G24,'GP automotive'!G32,'GP automotive'!G40)</f>
        <v>0.19216312852565895</v>
      </c>
      <c r="H16" s="63">
        <f>CHOOSE(Drivers!$C$3,'GP automotive'!H24,'GP automotive'!H32,'GP automotive'!H40)</f>
        <v>0.19216312852565895</v>
      </c>
      <c r="I16" s="63">
        <f>CHOOSE(Drivers!$C$3,'GP automotive'!I24,'GP automotive'!I32,'GP automotive'!I40)</f>
        <v>0.19216312852565895</v>
      </c>
      <c r="J16" s="63">
        <f>CHOOSE(Drivers!$C$3,'GP automotive'!J24,'GP automotive'!J32,'GP automotive'!J40)</f>
        <v>0.19216312852565895</v>
      </c>
      <c r="K16" s="63">
        <f>CHOOSE(Drivers!$C$3,'GP automotive'!K24,'GP automotive'!K32,'GP automotive'!K40)</f>
        <v>0.19216312852565895</v>
      </c>
      <c r="L16" s="63">
        <f>CHOOSE(Drivers!$C$3,'GP automotive'!L24,'GP automotive'!L32,'GP automotive'!L40)</f>
        <v>0.19216312852565895</v>
      </c>
      <c r="M16" s="63">
        <f>CHOOSE(Drivers!$C$3,'GP automotive'!M24,'GP automotive'!M32,'GP automotive'!M40)</f>
        <v>0.19216312852565895</v>
      </c>
      <c r="N16" s="63">
        <f>CHOOSE(Drivers!$C$3,'GP automotive'!N24,'GP automotive'!N32,'GP automotive'!N40)</f>
        <v>0.19216312852565895</v>
      </c>
      <c r="O16" s="63">
        <f>CHOOSE(Drivers!$C$3,'GP automotive'!O24,'GP automotive'!O32,'GP automotive'!O40)</f>
        <v>0.19216312852565895</v>
      </c>
      <c r="P16" s="63">
        <f>CHOOSE(Drivers!$C$3,'GP automotive'!P24,'GP automotive'!P32,'GP automotive'!P40)</f>
        <v>0.19216312852565895</v>
      </c>
      <c r="Q16" s="63">
        <f>CHOOSE(Drivers!$C$3,'GP automotive'!Q24,'GP automotive'!Q32,'GP automotive'!Q40)</f>
        <v>0.19216312852565895</v>
      </c>
      <c r="R16" s="63">
        <f>CHOOSE(Drivers!$C$3,'GP automotive'!R24,'GP automotive'!R32,'GP automotive'!R40)</f>
        <v>0.19216312852565895</v>
      </c>
      <c r="S16" s="63">
        <f>CHOOSE(Drivers!$C$3,'GP automotive'!S24,'GP automotive'!S32,'GP automotive'!S40)</f>
        <v>0.19216312852565895</v>
      </c>
    </row>
    <row r="17" spans="2:19" x14ac:dyDescent="0.25">
      <c r="B17" s="61" t="s">
        <v>120</v>
      </c>
      <c r="C17" s="64"/>
      <c r="D17" s="64"/>
      <c r="E17" s="64"/>
      <c r="F17" s="64"/>
      <c r="G17" s="63">
        <f>CHOOSE(Drivers!$C$3,'GP automotive'!G25,'GP automotive'!G33,'GP automotive'!G41)</f>
        <v>0.39313618860356131</v>
      </c>
      <c r="H17" s="63">
        <f>CHOOSE(Drivers!$C$3,'GP automotive'!H25,'GP automotive'!H33,'GP automotive'!H41)</f>
        <v>0.39313618860356131</v>
      </c>
      <c r="I17" s="63">
        <f>CHOOSE(Drivers!$C$3,'GP automotive'!I25,'GP automotive'!I33,'GP automotive'!I41)</f>
        <v>0.39313618860356131</v>
      </c>
      <c r="J17" s="63">
        <f>CHOOSE(Drivers!$C$3,'GP automotive'!J25,'GP automotive'!J33,'GP automotive'!J41)</f>
        <v>0.39313618860356131</v>
      </c>
      <c r="K17" s="63">
        <f>CHOOSE(Drivers!$C$3,'GP automotive'!K25,'GP automotive'!K33,'GP automotive'!K41)</f>
        <v>0.39313618860356131</v>
      </c>
      <c r="L17" s="63">
        <f>CHOOSE(Drivers!$C$3,'GP automotive'!L25,'GP automotive'!L33,'GP automotive'!L41)</f>
        <v>0.39313618860356131</v>
      </c>
      <c r="M17" s="63">
        <f>CHOOSE(Drivers!$C$3,'GP automotive'!M25,'GP automotive'!M33,'GP automotive'!M41)</f>
        <v>0.39313618860356131</v>
      </c>
      <c r="N17" s="63">
        <f>CHOOSE(Drivers!$C$3,'GP automotive'!N25,'GP automotive'!N33,'GP automotive'!N41)</f>
        <v>0.39313618860356131</v>
      </c>
      <c r="O17" s="63">
        <f>CHOOSE(Drivers!$C$3,'GP automotive'!O25,'GP automotive'!O33,'GP automotive'!O41)</f>
        <v>0.39313618860356131</v>
      </c>
      <c r="P17" s="63">
        <f>CHOOSE(Drivers!$C$3,'GP automotive'!P25,'GP automotive'!P33,'GP automotive'!P41)</f>
        <v>0.39313618860356131</v>
      </c>
      <c r="Q17" s="63">
        <f>CHOOSE(Drivers!$C$3,'GP automotive'!Q25,'GP automotive'!Q33,'GP automotive'!Q41)</f>
        <v>0.39313618860356131</v>
      </c>
      <c r="R17" s="63">
        <f>CHOOSE(Drivers!$C$3,'GP automotive'!R25,'GP automotive'!R33,'GP automotive'!R41)</f>
        <v>0.39313618860356131</v>
      </c>
      <c r="S17" s="63">
        <f>CHOOSE(Drivers!$C$3,'GP automotive'!S25,'GP automotive'!S33,'GP automotive'!S41)</f>
        <v>0.39313618860356131</v>
      </c>
    </row>
    <row r="18" spans="2:19" x14ac:dyDescent="0.25">
      <c r="B18" s="61" t="s">
        <v>119</v>
      </c>
      <c r="C18" s="64"/>
      <c r="D18" s="64"/>
      <c r="E18" s="64"/>
      <c r="F18" s="64"/>
      <c r="G18" s="63">
        <f>CHOOSE(Drivers!$C$3,'GP automotive'!G26,'GP automotive'!G34,'GP automotive'!G42)</f>
        <v>0.12377549275432535</v>
      </c>
      <c r="H18" s="63">
        <f>CHOOSE(Drivers!$C$3,'GP automotive'!H26,'GP automotive'!H34,'GP automotive'!H42)</f>
        <v>0.12377549275432535</v>
      </c>
      <c r="I18" s="63">
        <f>CHOOSE(Drivers!$C$3,'GP automotive'!I26,'GP automotive'!I34,'GP automotive'!I42)</f>
        <v>0.12377549275432535</v>
      </c>
      <c r="J18" s="63">
        <f>CHOOSE(Drivers!$C$3,'GP automotive'!J26,'GP automotive'!J34,'GP automotive'!J42)</f>
        <v>0.12377549275432535</v>
      </c>
      <c r="K18" s="63">
        <f>CHOOSE(Drivers!$C$3,'GP automotive'!K26,'GP automotive'!K34,'GP automotive'!K42)</f>
        <v>0.12377549275432535</v>
      </c>
      <c r="L18" s="63">
        <f>CHOOSE(Drivers!$C$3,'GP automotive'!L26,'GP automotive'!L34,'GP automotive'!L42)</f>
        <v>0.12377549275432535</v>
      </c>
      <c r="M18" s="63">
        <f>CHOOSE(Drivers!$C$3,'GP automotive'!M26,'GP automotive'!M34,'GP automotive'!M42)</f>
        <v>0.12377549275432535</v>
      </c>
      <c r="N18" s="63">
        <f>CHOOSE(Drivers!$C$3,'GP automotive'!N26,'GP automotive'!N34,'GP automotive'!N42)</f>
        <v>0.12377549275432535</v>
      </c>
      <c r="O18" s="63">
        <f>CHOOSE(Drivers!$C$3,'GP automotive'!O26,'GP automotive'!O34,'GP automotive'!O42)</f>
        <v>0.12377549275432535</v>
      </c>
      <c r="P18" s="63">
        <f>CHOOSE(Drivers!$C$3,'GP automotive'!P26,'GP automotive'!P34,'GP automotive'!P42)</f>
        <v>0.12377549275432535</v>
      </c>
      <c r="Q18" s="63">
        <f>CHOOSE(Drivers!$C$3,'GP automotive'!Q26,'GP automotive'!Q34,'GP automotive'!Q42)</f>
        <v>0.12377549275432535</v>
      </c>
      <c r="R18" s="63">
        <f>CHOOSE(Drivers!$C$3,'GP automotive'!R26,'GP automotive'!R34,'GP automotive'!R42)</f>
        <v>0.12377549275432535</v>
      </c>
      <c r="S18" s="63">
        <f>CHOOSE(Drivers!$C$3,'GP automotive'!S26,'GP automotive'!S34,'GP automotive'!S42)</f>
        <v>0.12377549275432535</v>
      </c>
    </row>
    <row r="19" spans="2:19" x14ac:dyDescent="0.25">
      <c r="B19" s="61" t="s">
        <v>116</v>
      </c>
      <c r="C19" s="64"/>
      <c r="D19" s="64"/>
      <c r="E19" s="64"/>
      <c r="F19" s="64"/>
      <c r="G19" s="63">
        <f>CHOOSE(Drivers!$C$3,'GP automotive'!G27,'GP automotive'!G35,'GP automotive'!G43)</f>
        <v>0.19168817457726836</v>
      </c>
      <c r="H19" s="63">
        <f>CHOOSE(Drivers!$C$3,'GP automotive'!H27,'GP automotive'!H35,'GP automotive'!H43)</f>
        <v>0.19168817457726836</v>
      </c>
      <c r="I19" s="63">
        <f>CHOOSE(Drivers!$C$3,'GP automotive'!I27,'GP automotive'!I35,'GP automotive'!I43)</f>
        <v>0.19168817457726836</v>
      </c>
      <c r="J19" s="63">
        <f>CHOOSE(Drivers!$C$3,'GP automotive'!J27,'GP automotive'!J35,'GP automotive'!J43)</f>
        <v>0.19168817457726836</v>
      </c>
      <c r="K19" s="63">
        <f>CHOOSE(Drivers!$C$3,'GP automotive'!K27,'GP automotive'!K35,'GP automotive'!K43)</f>
        <v>0.19168817457726836</v>
      </c>
      <c r="L19" s="63">
        <f>CHOOSE(Drivers!$C$3,'GP automotive'!L27,'GP automotive'!L35,'GP automotive'!L43)</f>
        <v>0.19168817457726836</v>
      </c>
      <c r="M19" s="63">
        <f>CHOOSE(Drivers!$C$3,'GP automotive'!M27,'GP automotive'!M35,'GP automotive'!M43)</f>
        <v>0.19168817457726836</v>
      </c>
      <c r="N19" s="63">
        <f>CHOOSE(Drivers!$C$3,'GP automotive'!N27,'GP automotive'!N35,'GP automotive'!N43)</f>
        <v>0.19168817457726836</v>
      </c>
      <c r="O19" s="63">
        <f>CHOOSE(Drivers!$C$3,'GP automotive'!O27,'GP automotive'!O35,'GP automotive'!O43)</f>
        <v>0.19168817457726836</v>
      </c>
      <c r="P19" s="63">
        <f>CHOOSE(Drivers!$C$3,'GP automotive'!P27,'GP automotive'!P35,'GP automotive'!P43)</f>
        <v>0.19168817457726836</v>
      </c>
      <c r="Q19" s="63">
        <f>CHOOSE(Drivers!$C$3,'GP automotive'!Q27,'GP automotive'!Q35,'GP automotive'!Q43)</f>
        <v>0.19168817457726836</v>
      </c>
      <c r="R19" s="63">
        <f>CHOOSE(Drivers!$C$3,'GP automotive'!R27,'GP automotive'!R35,'GP automotive'!R43)</f>
        <v>0.19168817457726836</v>
      </c>
      <c r="S19" s="63">
        <f>CHOOSE(Drivers!$C$3,'GP automotive'!S27,'GP automotive'!S35,'GP automotive'!S43)</f>
        <v>0.19168817457726836</v>
      </c>
    </row>
    <row r="20" spans="2:19" x14ac:dyDescent="0.25">
      <c r="B20" s="61"/>
      <c r="C20" s="64"/>
      <c r="D20" s="64"/>
      <c r="E20" s="64"/>
      <c r="F20" s="64"/>
      <c r="G20" s="64"/>
      <c r="H20" s="64"/>
      <c r="I20" s="64"/>
      <c r="J20" s="64"/>
      <c r="K20" s="62"/>
      <c r="L20" s="62"/>
      <c r="M20" s="62"/>
      <c r="N20" s="62"/>
      <c r="O20" s="62"/>
      <c r="P20" s="62"/>
      <c r="Q20" s="62"/>
      <c r="R20" s="62"/>
      <c r="S20" s="62"/>
    </row>
    <row r="21" spans="2:19" x14ac:dyDescent="0.25">
      <c r="B21" s="60" t="s">
        <v>71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</row>
    <row r="22" spans="2:19" x14ac:dyDescent="0.25">
      <c r="B22" s="61" t="s">
        <v>117</v>
      </c>
      <c r="C22" s="64"/>
      <c r="D22" s="64"/>
      <c r="E22" s="64"/>
      <c r="F22" s="64"/>
      <c r="G22" s="63">
        <f>G30+1.5%</f>
        <v>0.13877549275432535</v>
      </c>
      <c r="H22" s="63">
        <f t="shared" ref="H22:S22" si="3">H30+1.5%</f>
        <v>0.13877549275432535</v>
      </c>
      <c r="I22" s="63">
        <f t="shared" si="3"/>
        <v>0.13877549275432535</v>
      </c>
      <c r="J22" s="63">
        <f t="shared" si="3"/>
        <v>0.13877549275432535</v>
      </c>
      <c r="K22" s="63">
        <f t="shared" si="3"/>
        <v>0.13877549275432535</v>
      </c>
      <c r="L22" s="63">
        <f t="shared" si="3"/>
        <v>0.13877549275432535</v>
      </c>
      <c r="M22" s="63">
        <f t="shared" si="3"/>
        <v>0.13877549275432535</v>
      </c>
      <c r="N22" s="63">
        <f t="shared" si="3"/>
        <v>0.13877549275432535</v>
      </c>
      <c r="O22" s="63">
        <f t="shared" si="3"/>
        <v>0.13877549275432535</v>
      </c>
      <c r="P22" s="63">
        <f t="shared" si="3"/>
        <v>0.13877549275432535</v>
      </c>
      <c r="Q22" s="63">
        <f t="shared" si="3"/>
        <v>0.13877549275432535</v>
      </c>
      <c r="R22" s="63">
        <f t="shared" si="3"/>
        <v>0.13877549275432535</v>
      </c>
      <c r="S22" s="63">
        <f t="shared" si="3"/>
        <v>0.13877549275432535</v>
      </c>
    </row>
    <row r="23" spans="2:19" x14ac:dyDescent="0.25">
      <c r="B23" s="61" t="s">
        <v>123</v>
      </c>
      <c r="C23" s="64"/>
      <c r="D23" s="48"/>
      <c r="E23" s="48"/>
      <c r="F23" s="48"/>
      <c r="G23" s="63">
        <f t="shared" ref="G23:S23" si="4">G31+1.5%</f>
        <v>0.20716312852565893</v>
      </c>
      <c r="H23" s="63">
        <f t="shared" si="4"/>
        <v>0.20716312852565893</v>
      </c>
      <c r="I23" s="63">
        <f t="shared" si="4"/>
        <v>0.20716312852565893</v>
      </c>
      <c r="J23" s="63">
        <f t="shared" si="4"/>
        <v>0.20716312852565893</v>
      </c>
      <c r="K23" s="63">
        <f t="shared" si="4"/>
        <v>0.20716312852565893</v>
      </c>
      <c r="L23" s="63">
        <f t="shared" si="4"/>
        <v>0.20716312852565893</v>
      </c>
      <c r="M23" s="63">
        <f t="shared" si="4"/>
        <v>0.20716312852565893</v>
      </c>
      <c r="N23" s="63">
        <f t="shared" si="4"/>
        <v>0.20716312852565893</v>
      </c>
      <c r="O23" s="63">
        <f t="shared" si="4"/>
        <v>0.20716312852565893</v>
      </c>
      <c r="P23" s="63">
        <f t="shared" si="4"/>
        <v>0.20716312852565893</v>
      </c>
      <c r="Q23" s="63">
        <f t="shared" si="4"/>
        <v>0.20716312852565893</v>
      </c>
      <c r="R23" s="63">
        <f t="shared" si="4"/>
        <v>0.20716312852565893</v>
      </c>
      <c r="S23" s="63">
        <f t="shared" si="4"/>
        <v>0.20716312852565893</v>
      </c>
    </row>
    <row r="24" spans="2:19" x14ac:dyDescent="0.25">
      <c r="B24" s="61" t="s">
        <v>118</v>
      </c>
      <c r="C24" s="64"/>
      <c r="D24" s="64"/>
      <c r="E24" s="64"/>
      <c r="F24" s="64"/>
      <c r="G24" s="63">
        <f t="shared" ref="G24:S24" si="5">G32+1.5%</f>
        <v>0.20716312852565893</v>
      </c>
      <c r="H24" s="63">
        <f t="shared" si="5"/>
        <v>0.20716312852565893</v>
      </c>
      <c r="I24" s="63">
        <f t="shared" si="5"/>
        <v>0.20716312852565893</v>
      </c>
      <c r="J24" s="63">
        <f t="shared" si="5"/>
        <v>0.20716312852565893</v>
      </c>
      <c r="K24" s="63">
        <f t="shared" si="5"/>
        <v>0.20716312852565893</v>
      </c>
      <c r="L24" s="63">
        <f t="shared" si="5"/>
        <v>0.20716312852565893</v>
      </c>
      <c r="M24" s="63">
        <f t="shared" si="5"/>
        <v>0.20716312852565893</v>
      </c>
      <c r="N24" s="63">
        <f t="shared" si="5"/>
        <v>0.20716312852565893</v>
      </c>
      <c r="O24" s="63">
        <f t="shared" si="5"/>
        <v>0.20716312852565893</v>
      </c>
      <c r="P24" s="63">
        <f t="shared" si="5"/>
        <v>0.20716312852565893</v>
      </c>
      <c r="Q24" s="63">
        <f t="shared" si="5"/>
        <v>0.20716312852565893</v>
      </c>
      <c r="R24" s="63">
        <f t="shared" si="5"/>
        <v>0.20716312852565893</v>
      </c>
      <c r="S24" s="63">
        <f t="shared" si="5"/>
        <v>0.20716312852565893</v>
      </c>
    </row>
    <row r="25" spans="2:19" x14ac:dyDescent="0.25">
      <c r="B25" s="61" t="s">
        <v>120</v>
      </c>
      <c r="C25" s="64"/>
      <c r="D25" s="64"/>
      <c r="E25" s="64"/>
      <c r="F25" s="64"/>
      <c r="G25" s="63">
        <f t="shared" ref="G25:S25" si="6">G33+1.5%</f>
        <v>0.40813618860356132</v>
      </c>
      <c r="H25" s="63">
        <f t="shared" si="6"/>
        <v>0.40813618860356132</v>
      </c>
      <c r="I25" s="63">
        <f t="shared" si="6"/>
        <v>0.40813618860356132</v>
      </c>
      <c r="J25" s="63">
        <f t="shared" si="6"/>
        <v>0.40813618860356132</v>
      </c>
      <c r="K25" s="63">
        <f t="shared" si="6"/>
        <v>0.40813618860356132</v>
      </c>
      <c r="L25" s="63">
        <f t="shared" si="6"/>
        <v>0.40813618860356132</v>
      </c>
      <c r="M25" s="63">
        <f t="shared" si="6"/>
        <v>0.40813618860356132</v>
      </c>
      <c r="N25" s="63">
        <f t="shared" si="6"/>
        <v>0.40813618860356132</v>
      </c>
      <c r="O25" s="63">
        <f t="shared" si="6"/>
        <v>0.40813618860356132</v>
      </c>
      <c r="P25" s="63">
        <f t="shared" si="6"/>
        <v>0.40813618860356132</v>
      </c>
      <c r="Q25" s="63">
        <f t="shared" si="6"/>
        <v>0.40813618860356132</v>
      </c>
      <c r="R25" s="63">
        <f t="shared" si="6"/>
        <v>0.40813618860356132</v>
      </c>
      <c r="S25" s="63">
        <f t="shared" si="6"/>
        <v>0.40813618860356132</v>
      </c>
    </row>
    <row r="26" spans="2:19" x14ac:dyDescent="0.25">
      <c r="B26" s="61" t="s">
        <v>119</v>
      </c>
      <c r="C26" s="64"/>
      <c r="D26" s="64"/>
      <c r="E26" s="64"/>
      <c r="F26" s="64"/>
      <c r="G26" s="63">
        <f t="shared" ref="G26:S26" si="7">G34+1.5%</f>
        <v>0.13877549275432535</v>
      </c>
      <c r="H26" s="63">
        <f t="shared" si="7"/>
        <v>0.13877549275432535</v>
      </c>
      <c r="I26" s="63">
        <f t="shared" si="7"/>
        <v>0.13877549275432535</v>
      </c>
      <c r="J26" s="63">
        <f t="shared" si="7"/>
        <v>0.13877549275432535</v>
      </c>
      <c r="K26" s="63">
        <f t="shared" si="7"/>
        <v>0.13877549275432535</v>
      </c>
      <c r="L26" s="63">
        <f t="shared" si="7"/>
        <v>0.13877549275432535</v>
      </c>
      <c r="M26" s="63">
        <f t="shared" si="7"/>
        <v>0.13877549275432535</v>
      </c>
      <c r="N26" s="63">
        <f t="shared" si="7"/>
        <v>0.13877549275432535</v>
      </c>
      <c r="O26" s="63">
        <f t="shared" si="7"/>
        <v>0.13877549275432535</v>
      </c>
      <c r="P26" s="63">
        <f t="shared" si="7"/>
        <v>0.13877549275432535</v>
      </c>
      <c r="Q26" s="63">
        <f t="shared" si="7"/>
        <v>0.13877549275432535</v>
      </c>
      <c r="R26" s="63">
        <f t="shared" si="7"/>
        <v>0.13877549275432535</v>
      </c>
      <c r="S26" s="63">
        <f t="shared" si="7"/>
        <v>0.13877549275432535</v>
      </c>
    </row>
    <row r="27" spans="2:19" x14ac:dyDescent="0.25">
      <c r="B27" s="61" t="s">
        <v>116</v>
      </c>
      <c r="C27" s="64"/>
      <c r="D27" s="64"/>
      <c r="E27" s="64"/>
      <c r="F27" s="64"/>
      <c r="G27" s="63">
        <f t="shared" ref="G27:S27" si="8">G35+1.5%</f>
        <v>0.20668817457726835</v>
      </c>
      <c r="H27" s="63">
        <f t="shared" si="8"/>
        <v>0.20668817457726835</v>
      </c>
      <c r="I27" s="63">
        <f t="shared" si="8"/>
        <v>0.20668817457726835</v>
      </c>
      <c r="J27" s="63">
        <f t="shared" si="8"/>
        <v>0.20668817457726835</v>
      </c>
      <c r="K27" s="63">
        <f t="shared" si="8"/>
        <v>0.20668817457726835</v>
      </c>
      <c r="L27" s="63">
        <f t="shared" si="8"/>
        <v>0.20668817457726835</v>
      </c>
      <c r="M27" s="63">
        <f t="shared" si="8"/>
        <v>0.20668817457726835</v>
      </c>
      <c r="N27" s="63">
        <f t="shared" si="8"/>
        <v>0.20668817457726835</v>
      </c>
      <c r="O27" s="63">
        <f t="shared" si="8"/>
        <v>0.20668817457726835</v>
      </c>
      <c r="P27" s="63">
        <f t="shared" si="8"/>
        <v>0.20668817457726835</v>
      </c>
      <c r="Q27" s="63">
        <f t="shared" si="8"/>
        <v>0.20668817457726835</v>
      </c>
      <c r="R27" s="63">
        <f t="shared" si="8"/>
        <v>0.20668817457726835</v>
      </c>
      <c r="S27" s="63">
        <f t="shared" si="8"/>
        <v>0.20668817457726835</v>
      </c>
    </row>
    <row r="28" spans="2:19" x14ac:dyDescent="0.25">
      <c r="B28" s="61"/>
      <c r="C28" s="64"/>
      <c r="D28" s="64"/>
      <c r="E28" s="64"/>
      <c r="F28" s="64"/>
      <c r="G28" s="64"/>
      <c r="H28" s="64"/>
      <c r="I28" s="64"/>
      <c r="J28" s="64"/>
      <c r="K28" s="62"/>
      <c r="L28" s="62"/>
      <c r="M28" s="62"/>
      <c r="N28" s="62"/>
      <c r="O28" s="62"/>
      <c r="P28" s="62"/>
      <c r="Q28" s="62"/>
      <c r="R28" s="62"/>
      <c r="S28" s="62"/>
    </row>
    <row r="29" spans="2:19" x14ac:dyDescent="0.25">
      <c r="B29" s="60" t="s">
        <v>72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</row>
    <row r="30" spans="2:19" x14ac:dyDescent="0.25">
      <c r="B30" s="61" t="s">
        <v>117</v>
      </c>
      <c r="C30" s="64"/>
      <c r="D30" s="64"/>
      <c r="E30" s="64"/>
      <c r="F30" s="64"/>
      <c r="G30" s="63">
        <f>'GP% automotive'!$H6</f>
        <v>0.12377549275432535</v>
      </c>
      <c r="H30" s="63">
        <f>'GP% automotive'!$H6</f>
        <v>0.12377549275432535</v>
      </c>
      <c r="I30" s="63">
        <f>'GP% automotive'!$H6</f>
        <v>0.12377549275432535</v>
      </c>
      <c r="J30" s="63">
        <f>'GP% automotive'!$H6</f>
        <v>0.12377549275432535</v>
      </c>
      <c r="K30" s="63">
        <f>'GP% automotive'!$H6</f>
        <v>0.12377549275432535</v>
      </c>
      <c r="L30" s="63">
        <f>'GP% automotive'!$H6</f>
        <v>0.12377549275432535</v>
      </c>
      <c r="M30" s="63">
        <f>'GP% automotive'!$H6</f>
        <v>0.12377549275432535</v>
      </c>
      <c r="N30" s="63">
        <f>'GP% automotive'!$H6</f>
        <v>0.12377549275432535</v>
      </c>
      <c r="O30" s="63">
        <f>'GP% automotive'!$H6</f>
        <v>0.12377549275432535</v>
      </c>
      <c r="P30" s="63">
        <f>'GP% automotive'!$H6</f>
        <v>0.12377549275432535</v>
      </c>
      <c r="Q30" s="63">
        <f>'GP% automotive'!$H6</f>
        <v>0.12377549275432535</v>
      </c>
      <c r="R30" s="63">
        <f>'GP% automotive'!$H6</f>
        <v>0.12377549275432535</v>
      </c>
      <c r="S30" s="63">
        <f>'GP% automotive'!$H6</f>
        <v>0.12377549275432535</v>
      </c>
    </row>
    <row r="31" spans="2:19" x14ac:dyDescent="0.25">
      <c r="B31" s="61" t="s">
        <v>123</v>
      </c>
      <c r="C31" s="64"/>
      <c r="D31" s="48"/>
      <c r="E31" s="48"/>
      <c r="F31" s="48"/>
      <c r="G31" s="63">
        <f>'GP% automotive'!$H7</f>
        <v>0.19216312852565895</v>
      </c>
      <c r="H31" s="63">
        <f>'GP% automotive'!$H7</f>
        <v>0.19216312852565895</v>
      </c>
      <c r="I31" s="63">
        <f>'GP% automotive'!$H7</f>
        <v>0.19216312852565895</v>
      </c>
      <c r="J31" s="63">
        <f>'GP% automotive'!$H7</f>
        <v>0.19216312852565895</v>
      </c>
      <c r="K31" s="63">
        <f>'GP% automotive'!$H7</f>
        <v>0.19216312852565895</v>
      </c>
      <c r="L31" s="63">
        <f>'GP% automotive'!$H7</f>
        <v>0.19216312852565895</v>
      </c>
      <c r="M31" s="63">
        <f>'GP% automotive'!$H7</f>
        <v>0.19216312852565895</v>
      </c>
      <c r="N31" s="63">
        <f>'GP% automotive'!$H7</f>
        <v>0.19216312852565895</v>
      </c>
      <c r="O31" s="63">
        <f>'GP% automotive'!$H7</f>
        <v>0.19216312852565895</v>
      </c>
      <c r="P31" s="63">
        <f>'GP% automotive'!$H7</f>
        <v>0.19216312852565895</v>
      </c>
      <c r="Q31" s="63">
        <f>'GP% automotive'!$H7</f>
        <v>0.19216312852565895</v>
      </c>
      <c r="R31" s="63">
        <f>'GP% automotive'!$H7</f>
        <v>0.19216312852565895</v>
      </c>
      <c r="S31" s="63">
        <f>'GP% automotive'!$H7</f>
        <v>0.19216312852565895</v>
      </c>
    </row>
    <row r="32" spans="2:19" x14ac:dyDescent="0.25">
      <c r="B32" s="61" t="s">
        <v>118</v>
      </c>
      <c r="C32" s="64"/>
      <c r="D32" s="64"/>
      <c r="E32" s="64"/>
      <c r="F32" s="64"/>
      <c r="G32" s="63">
        <f>'GP% automotive'!$H8</f>
        <v>0.19216312852565895</v>
      </c>
      <c r="H32" s="63">
        <f>'GP% automotive'!$H8</f>
        <v>0.19216312852565895</v>
      </c>
      <c r="I32" s="63">
        <f>'GP% automotive'!$H8</f>
        <v>0.19216312852565895</v>
      </c>
      <c r="J32" s="63">
        <f>'GP% automotive'!$H8</f>
        <v>0.19216312852565895</v>
      </c>
      <c r="K32" s="63">
        <f>'GP% automotive'!$H8</f>
        <v>0.19216312852565895</v>
      </c>
      <c r="L32" s="63">
        <f>'GP% automotive'!$H8</f>
        <v>0.19216312852565895</v>
      </c>
      <c r="M32" s="63">
        <f>'GP% automotive'!$H8</f>
        <v>0.19216312852565895</v>
      </c>
      <c r="N32" s="63">
        <f>'GP% automotive'!$H8</f>
        <v>0.19216312852565895</v>
      </c>
      <c r="O32" s="63">
        <f>'GP% automotive'!$H8</f>
        <v>0.19216312852565895</v>
      </c>
      <c r="P32" s="63">
        <f>'GP% automotive'!$H8</f>
        <v>0.19216312852565895</v>
      </c>
      <c r="Q32" s="63">
        <f>'GP% automotive'!$H8</f>
        <v>0.19216312852565895</v>
      </c>
      <c r="R32" s="63">
        <f>'GP% automotive'!$H8</f>
        <v>0.19216312852565895</v>
      </c>
      <c r="S32" s="63">
        <f>'GP% automotive'!$H8</f>
        <v>0.19216312852565895</v>
      </c>
    </row>
    <row r="33" spans="2:19" x14ac:dyDescent="0.25">
      <c r="B33" s="61" t="s">
        <v>120</v>
      </c>
      <c r="C33" s="64"/>
      <c r="D33" s="64"/>
      <c r="E33" s="64"/>
      <c r="F33" s="64"/>
      <c r="G33" s="63">
        <f>'GP% automotive'!$H9</f>
        <v>0.39313618860356131</v>
      </c>
      <c r="H33" s="63">
        <f>'GP% automotive'!$H9</f>
        <v>0.39313618860356131</v>
      </c>
      <c r="I33" s="63">
        <f>'GP% automotive'!$H9</f>
        <v>0.39313618860356131</v>
      </c>
      <c r="J33" s="63">
        <f>'GP% automotive'!$H9</f>
        <v>0.39313618860356131</v>
      </c>
      <c r="K33" s="63">
        <f>'GP% automotive'!$H9</f>
        <v>0.39313618860356131</v>
      </c>
      <c r="L33" s="63">
        <f>'GP% automotive'!$H9</f>
        <v>0.39313618860356131</v>
      </c>
      <c r="M33" s="63">
        <f>'GP% automotive'!$H9</f>
        <v>0.39313618860356131</v>
      </c>
      <c r="N33" s="63">
        <f>'GP% automotive'!$H9</f>
        <v>0.39313618860356131</v>
      </c>
      <c r="O33" s="63">
        <f>'GP% automotive'!$H9</f>
        <v>0.39313618860356131</v>
      </c>
      <c r="P33" s="63">
        <f>'GP% automotive'!$H9</f>
        <v>0.39313618860356131</v>
      </c>
      <c r="Q33" s="63">
        <f>'GP% automotive'!$H9</f>
        <v>0.39313618860356131</v>
      </c>
      <c r="R33" s="63">
        <f>'GP% automotive'!$H9</f>
        <v>0.39313618860356131</v>
      </c>
      <c r="S33" s="63">
        <f>'GP% automotive'!$H9</f>
        <v>0.39313618860356131</v>
      </c>
    </row>
    <row r="34" spans="2:19" x14ac:dyDescent="0.25">
      <c r="B34" s="61" t="s">
        <v>119</v>
      </c>
      <c r="C34" s="64"/>
      <c r="D34" s="64"/>
      <c r="E34" s="64"/>
      <c r="F34" s="64"/>
      <c r="G34" s="63">
        <f>'GP% automotive'!$H10</f>
        <v>0.12377549275432535</v>
      </c>
      <c r="H34" s="63">
        <f>'GP% automotive'!$H10</f>
        <v>0.12377549275432535</v>
      </c>
      <c r="I34" s="63">
        <f>'GP% automotive'!$H10</f>
        <v>0.12377549275432535</v>
      </c>
      <c r="J34" s="63">
        <f>'GP% automotive'!$H10</f>
        <v>0.12377549275432535</v>
      </c>
      <c r="K34" s="63">
        <f>'GP% automotive'!$H10</f>
        <v>0.12377549275432535</v>
      </c>
      <c r="L34" s="63">
        <f>'GP% automotive'!$H10</f>
        <v>0.12377549275432535</v>
      </c>
      <c r="M34" s="63">
        <f>'GP% automotive'!$H10</f>
        <v>0.12377549275432535</v>
      </c>
      <c r="N34" s="63">
        <f>'GP% automotive'!$H10</f>
        <v>0.12377549275432535</v>
      </c>
      <c r="O34" s="63">
        <f>'GP% automotive'!$H10</f>
        <v>0.12377549275432535</v>
      </c>
      <c r="P34" s="63">
        <f>'GP% automotive'!$H10</f>
        <v>0.12377549275432535</v>
      </c>
      <c r="Q34" s="63">
        <f>'GP% automotive'!$H10</f>
        <v>0.12377549275432535</v>
      </c>
      <c r="R34" s="63">
        <f>'GP% automotive'!$H10</f>
        <v>0.12377549275432535</v>
      </c>
      <c r="S34" s="63">
        <f>'GP% automotive'!$H10</f>
        <v>0.12377549275432535</v>
      </c>
    </row>
    <row r="35" spans="2:19" x14ac:dyDescent="0.25">
      <c r="B35" s="61" t="s">
        <v>116</v>
      </c>
      <c r="C35" s="64"/>
      <c r="D35" s="64"/>
      <c r="E35" s="64"/>
      <c r="F35" s="64"/>
      <c r="G35" s="63">
        <f>'GP% automotive'!$H11</f>
        <v>0.19168817457726836</v>
      </c>
      <c r="H35" s="63">
        <f>'GP% automotive'!$H11</f>
        <v>0.19168817457726836</v>
      </c>
      <c r="I35" s="63">
        <f>'GP% automotive'!$H11</f>
        <v>0.19168817457726836</v>
      </c>
      <c r="J35" s="63">
        <f>'GP% automotive'!$H11</f>
        <v>0.19168817457726836</v>
      </c>
      <c r="K35" s="63">
        <f>'GP% automotive'!$H11</f>
        <v>0.19168817457726836</v>
      </c>
      <c r="L35" s="63">
        <f>'GP% automotive'!$H11</f>
        <v>0.19168817457726836</v>
      </c>
      <c r="M35" s="63">
        <f>'GP% automotive'!$H11</f>
        <v>0.19168817457726836</v>
      </c>
      <c r="N35" s="63">
        <f>'GP% automotive'!$H11</f>
        <v>0.19168817457726836</v>
      </c>
      <c r="O35" s="63">
        <f>'GP% automotive'!$H11</f>
        <v>0.19168817457726836</v>
      </c>
      <c r="P35" s="63">
        <f>'GP% automotive'!$H11</f>
        <v>0.19168817457726836</v>
      </c>
      <c r="Q35" s="63">
        <f>'GP% automotive'!$H11</f>
        <v>0.19168817457726836</v>
      </c>
      <c r="R35" s="63">
        <f>'GP% automotive'!$H11</f>
        <v>0.19168817457726836</v>
      </c>
      <c r="S35" s="63">
        <f>'GP% automotive'!$H11</f>
        <v>0.19168817457726836</v>
      </c>
    </row>
    <row r="36" spans="2:19" x14ac:dyDescent="0.25">
      <c r="B36" s="61"/>
      <c r="C36" s="64"/>
      <c r="D36" s="64"/>
      <c r="E36" s="64"/>
      <c r="F36" s="64"/>
      <c r="G36" s="64"/>
      <c r="H36" s="64"/>
      <c r="I36" s="64"/>
      <c r="J36" s="64"/>
      <c r="K36" s="62"/>
      <c r="L36" s="62"/>
      <c r="M36" s="62"/>
      <c r="N36" s="62"/>
      <c r="O36" s="62"/>
      <c r="P36" s="62"/>
      <c r="Q36" s="62"/>
      <c r="R36" s="62"/>
      <c r="S36" s="62"/>
    </row>
    <row r="37" spans="2:19" x14ac:dyDescent="0.25">
      <c r="B37" s="60" t="s">
        <v>73</v>
      </c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</row>
    <row r="38" spans="2:19" x14ac:dyDescent="0.25">
      <c r="B38" s="61" t="s">
        <v>117</v>
      </c>
      <c r="C38" s="64"/>
      <c r="D38" s="64"/>
      <c r="E38" s="64"/>
      <c r="F38" s="64"/>
      <c r="G38" s="63">
        <f>G30-1.5%</f>
        <v>0.10877549275432535</v>
      </c>
      <c r="H38" s="63">
        <f t="shared" ref="H38:S38" si="9">H30-1.5%</f>
        <v>0.10877549275432535</v>
      </c>
      <c r="I38" s="63">
        <f t="shared" si="9"/>
        <v>0.10877549275432535</v>
      </c>
      <c r="J38" s="63">
        <f t="shared" si="9"/>
        <v>0.10877549275432535</v>
      </c>
      <c r="K38" s="63">
        <f t="shared" si="9"/>
        <v>0.10877549275432535</v>
      </c>
      <c r="L38" s="63">
        <f t="shared" si="9"/>
        <v>0.10877549275432535</v>
      </c>
      <c r="M38" s="63">
        <f t="shared" si="9"/>
        <v>0.10877549275432535</v>
      </c>
      <c r="N38" s="63">
        <f t="shared" si="9"/>
        <v>0.10877549275432535</v>
      </c>
      <c r="O38" s="63">
        <f t="shared" si="9"/>
        <v>0.10877549275432535</v>
      </c>
      <c r="P38" s="63">
        <f t="shared" si="9"/>
        <v>0.10877549275432535</v>
      </c>
      <c r="Q38" s="63">
        <f t="shared" si="9"/>
        <v>0.10877549275432535</v>
      </c>
      <c r="R38" s="63">
        <f t="shared" si="9"/>
        <v>0.10877549275432535</v>
      </c>
      <c r="S38" s="63">
        <f t="shared" si="9"/>
        <v>0.10877549275432535</v>
      </c>
    </row>
    <row r="39" spans="2:19" x14ac:dyDescent="0.25">
      <c r="B39" s="61" t="s">
        <v>123</v>
      </c>
      <c r="C39" s="64"/>
      <c r="D39" s="48"/>
      <c r="E39" s="48"/>
      <c r="F39" s="48"/>
      <c r="G39" s="63">
        <f t="shared" ref="G39:S39" si="10">G31-1.5%</f>
        <v>0.17716312852565896</v>
      </c>
      <c r="H39" s="63">
        <f t="shared" si="10"/>
        <v>0.17716312852565896</v>
      </c>
      <c r="I39" s="63">
        <f t="shared" si="10"/>
        <v>0.17716312852565896</v>
      </c>
      <c r="J39" s="63">
        <f t="shared" si="10"/>
        <v>0.17716312852565896</v>
      </c>
      <c r="K39" s="63">
        <f t="shared" si="10"/>
        <v>0.17716312852565896</v>
      </c>
      <c r="L39" s="63">
        <f t="shared" si="10"/>
        <v>0.17716312852565896</v>
      </c>
      <c r="M39" s="63">
        <f t="shared" si="10"/>
        <v>0.17716312852565896</v>
      </c>
      <c r="N39" s="63">
        <f t="shared" si="10"/>
        <v>0.17716312852565896</v>
      </c>
      <c r="O39" s="63">
        <f t="shared" si="10"/>
        <v>0.17716312852565896</v>
      </c>
      <c r="P39" s="63">
        <f t="shared" si="10"/>
        <v>0.17716312852565896</v>
      </c>
      <c r="Q39" s="63">
        <f t="shared" si="10"/>
        <v>0.17716312852565896</v>
      </c>
      <c r="R39" s="63">
        <f t="shared" si="10"/>
        <v>0.17716312852565896</v>
      </c>
      <c r="S39" s="63">
        <f t="shared" si="10"/>
        <v>0.17716312852565896</v>
      </c>
    </row>
    <row r="40" spans="2:19" x14ac:dyDescent="0.25">
      <c r="B40" s="61" t="s">
        <v>118</v>
      </c>
      <c r="C40" s="64"/>
      <c r="D40" s="64"/>
      <c r="E40" s="64"/>
      <c r="F40" s="64"/>
      <c r="G40" s="63">
        <f t="shared" ref="G40:S40" si="11">G32-1.5%</f>
        <v>0.17716312852565896</v>
      </c>
      <c r="H40" s="63">
        <f t="shared" si="11"/>
        <v>0.17716312852565896</v>
      </c>
      <c r="I40" s="63">
        <f t="shared" si="11"/>
        <v>0.17716312852565896</v>
      </c>
      <c r="J40" s="63">
        <f t="shared" si="11"/>
        <v>0.17716312852565896</v>
      </c>
      <c r="K40" s="63">
        <f t="shared" si="11"/>
        <v>0.17716312852565896</v>
      </c>
      <c r="L40" s="63">
        <f t="shared" si="11"/>
        <v>0.17716312852565896</v>
      </c>
      <c r="M40" s="63">
        <f t="shared" si="11"/>
        <v>0.17716312852565896</v>
      </c>
      <c r="N40" s="63">
        <f t="shared" si="11"/>
        <v>0.17716312852565896</v>
      </c>
      <c r="O40" s="63">
        <f t="shared" si="11"/>
        <v>0.17716312852565896</v>
      </c>
      <c r="P40" s="63">
        <f t="shared" si="11"/>
        <v>0.17716312852565896</v>
      </c>
      <c r="Q40" s="63">
        <f t="shared" si="11"/>
        <v>0.17716312852565896</v>
      </c>
      <c r="R40" s="63">
        <f t="shared" si="11"/>
        <v>0.17716312852565896</v>
      </c>
      <c r="S40" s="63">
        <f t="shared" si="11"/>
        <v>0.17716312852565896</v>
      </c>
    </row>
    <row r="41" spans="2:19" x14ac:dyDescent="0.25">
      <c r="B41" s="61" t="s">
        <v>120</v>
      </c>
      <c r="C41" s="64"/>
      <c r="D41" s="64"/>
      <c r="E41" s="64"/>
      <c r="F41" s="64"/>
      <c r="G41" s="63">
        <f t="shared" ref="G41:S41" si="12">G33-1.5%</f>
        <v>0.3781361886035613</v>
      </c>
      <c r="H41" s="63">
        <f t="shared" si="12"/>
        <v>0.3781361886035613</v>
      </c>
      <c r="I41" s="63">
        <f t="shared" si="12"/>
        <v>0.3781361886035613</v>
      </c>
      <c r="J41" s="63">
        <f t="shared" si="12"/>
        <v>0.3781361886035613</v>
      </c>
      <c r="K41" s="63">
        <f t="shared" si="12"/>
        <v>0.3781361886035613</v>
      </c>
      <c r="L41" s="63">
        <f t="shared" si="12"/>
        <v>0.3781361886035613</v>
      </c>
      <c r="M41" s="63">
        <f t="shared" si="12"/>
        <v>0.3781361886035613</v>
      </c>
      <c r="N41" s="63">
        <f t="shared" si="12"/>
        <v>0.3781361886035613</v>
      </c>
      <c r="O41" s="63">
        <f t="shared" si="12"/>
        <v>0.3781361886035613</v>
      </c>
      <c r="P41" s="63">
        <f t="shared" si="12"/>
        <v>0.3781361886035613</v>
      </c>
      <c r="Q41" s="63">
        <f t="shared" si="12"/>
        <v>0.3781361886035613</v>
      </c>
      <c r="R41" s="63">
        <f t="shared" si="12"/>
        <v>0.3781361886035613</v>
      </c>
      <c r="S41" s="63">
        <f t="shared" si="12"/>
        <v>0.3781361886035613</v>
      </c>
    </row>
    <row r="42" spans="2:19" x14ac:dyDescent="0.25">
      <c r="B42" s="61" t="s">
        <v>119</v>
      </c>
      <c r="C42" s="64"/>
      <c r="D42" s="64"/>
      <c r="E42" s="64"/>
      <c r="F42" s="64"/>
      <c r="G42" s="63">
        <f t="shared" ref="G42:S42" si="13">G34-1.5%</f>
        <v>0.10877549275432535</v>
      </c>
      <c r="H42" s="63">
        <f t="shared" si="13"/>
        <v>0.10877549275432535</v>
      </c>
      <c r="I42" s="63">
        <f t="shared" si="13"/>
        <v>0.10877549275432535</v>
      </c>
      <c r="J42" s="63">
        <f t="shared" si="13"/>
        <v>0.10877549275432535</v>
      </c>
      <c r="K42" s="63">
        <f t="shared" si="13"/>
        <v>0.10877549275432535</v>
      </c>
      <c r="L42" s="63">
        <f t="shared" si="13"/>
        <v>0.10877549275432535</v>
      </c>
      <c r="M42" s="63">
        <f t="shared" si="13"/>
        <v>0.10877549275432535</v>
      </c>
      <c r="N42" s="63">
        <f t="shared" si="13"/>
        <v>0.10877549275432535</v>
      </c>
      <c r="O42" s="63">
        <f t="shared" si="13"/>
        <v>0.10877549275432535</v>
      </c>
      <c r="P42" s="63">
        <f t="shared" si="13"/>
        <v>0.10877549275432535</v>
      </c>
      <c r="Q42" s="63">
        <f t="shared" si="13"/>
        <v>0.10877549275432535</v>
      </c>
      <c r="R42" s="63">
        <f t="shared" si="13"/>
        <v>0.10877549275432535</v>
      </c>
      <c r="S42" s="63">
        <f t="shared" si="13"/>
        <v>0.10877549275432535</v>
      </c>
    </row>
    <row r="43" spans="2:19" x14ac:dyDescent="0.25">
      <c r="B43" s="61" t="s">
        <v>116</v>
      </c>
      <c r="C43" s="64"/>
      <c r="D43" s="64"/>
      <c r="E43" s="64"/>
      <c r="F43" s="64"/>
      <c r="G43" s="63">
        <f t="shared" ref="G43:S43" si="14">G35-1.5%</f>
        <v>0.17668817457726838</v>
      </c>
      <c r="H43" s="63">
        <f t="shared" si="14"/>
        <v>0.17668817457726838</v>
      </c>
      <c r="I43" s="63">
        <f t="shared" si="14"/>
        <v>0.17668817457726838</v>
      </c>
      <c r="J43" s="63">
        <f t="shared" si="14"/>
        <v>0.17668817457726838</v>
      </c>
      <c r="K43" s="63">
        <f t="shared" si="14"/>
        <v>0.17668817457726838</v>
      </c>
      <c r="L43" s="63">
        <f t="shared" si="14"/>
        <v>0.17668817457726838</v>
      </c>
      <c r="M43" s="63">
        <f t="shared" si="14"/>
        <v>0.17668817457726838</v>
      </c>
      <c r="N43" s="63">
        <f t="shared" si="14"/>
        <v>0.17668817457726838</v>
      </c>
      <c r="O43" s="63">
        <f t="shared" si="14"/>
        <v>0.17668817457726838</v>
      </c>
      <c r="P43" s="63">
        <f t="shared" si="14"/>
        <v>0.17668817457726838</v>
      </c>
      <c r="Q43" s="63">
        <f t="shared" si="14"/>
        <v>0.17668817457726838</v>
      </c>
      <c r="R43" s="63">
        <f t="shared" si="14"/>
        <v>0.17668817457726838</v>
      </c>
      <c r="S43" s="63">
        <f t="shared" si="14"/>
        <v>0.17668817457726838</v>
      </c>
    </row>
    <row r="44" spans="2:19" x14ac:dyDescent="0.25">
      <c r="B44" s="61"/>
      <c r="C44" s="64"/>
      <c r="D44" s="64"/>
      <c r="E44" s="64"/>
      <c r="F44" s="64"/>
      <c r="G44" s="61"/>
      <c r="H44" s="61"/>
      <c r="I44" s="64"/>
      <c r="J44" s="64"/>
      <c r="K44" s="62"/>
      <c r="L44" s="62"/>
      <c r="M44" s="62"/>
      <c r="N44" s="62"/>
      <c r="O44" s="62"/>
      <c r="P44" s="62"/>
      <c r="Q44" s="62"/>
      <c r="R44" s="62"/>
      <c r="S44" s="62"/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7F355-6EBF-4ECC-BA86-E71A2560ADF3}">
  <dimension ref="A1:S11"/>
  <sheetViews>
    <sheetView workbookViewId="0">
      <selection activeCell="D14" sqref="D14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164</v>
      </c>
    </row>
    <row r="2" spans="1:19" ht="15.6" x14ac:dyDescent="0.25">
      <c r="A2" s="1"/>
      <c r="B2" s="2"/>
    </row>
    <row r="3" spans="1:19" ht="12" x14ac:dyDescent="0.25">
      <c r="C3" s="136" t="s">
        <v>248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4" spans="1:19" ht="24" x14ac:dyDescent="0.25">
      <c r="B4" s="30" t="s">
        <v>114</v>
      </c>
      <c r="C4" s="6" t="s">
        <v>45</v>
      </c>
      <c r="D4" s="6" t="s">
        <v>46</v>
      </c>
      <c r="E4" s="6" t="s">
        <v>47</v>
      </c>
      <c r="F4" s="6" t="s">
        <v>107</v>
      </c>
      <c r="G4" s="6" t="s">
        <v>115</v>
      </c>
      <c r="H4" s="67" t="s">
        <v>126</v>
      </c>
      <c r="I4" s="67" t="s">
        <v>125</v>
      </c>
      <c r="J4" s="67" t="s">
        <v>127</v>
      </c>
      <c r="K4" s="67" t="s">
        <v>128</v>
      </c>
      <c r="L4" s="67" t="s">
        <v>129</v>
      </c>
      <c r="M4" s="67" t="s">
        <v>130</v>
      </c>
      <c r="N4" s="67" t="s">
        <v>131</v>
      </c>
      <c r="O4" s="67" t="s">
        <v>204</v>
      </c>
      <c r="P4" s="67" t="s">
        <v>205</v>
      </c>
      <c r="Q4" s="67" t="s">
        <v>206</v>
      </c>
      <c r="R4" s="67" t="s">
        <v>207</v>
      </c>
      <c r="S4" s="67" t="s">
        <v>208</v>
      </c>
    </row>
    <row r="5" spans="1:19" x14ac:dyDescent="0.25">
      <c r="B5" s="8" t="s">
        <v>117</v>
      </c>
      <c r="C5" s="42" t="s">
        <v>65</v>
      </c>
      <c r="D5" s="42" t="s">
        <v>65</v>
      </c>
      <c r="E5" s="42" t="s">
        <v>65</v>
      </c>
      <c r="F5" s="42" t="s">
        <v>65</v>
      </c>
      <c r="G5" s="42" t="s">
        <v>65</v>
      </c>
      <c r="H5" s="59">
        <f>-('Revenue automotive'!H5-'GP automotive'!H5)</f>
        <v>-3827.3486476491071</v>
      </c>
      <c r="I5" s="43" t="s">
        <v>65</v>
      </c>
      <c r="J5" s="59">
        <f>-('Revenue automotive'!J5-'GP automotive'!J5)</f>
        <v>-9568.3716191227668</v>
      </c>
      <c r="K5" s="59">
        <f>-('Revenue automotive'!K5-'GP automotive'!K5)</f>
        <v>-15309.394590596428</v>
      </c>
      <c r="L5" s="59">
        <f>-('Revenue automotive'!L5-'GP automotive'!L5)</f>
        <v>-16840.334049656074</v>
      </c>
      <c r="M5" s="59">
        <f>-('Revenue automotive'!M5-'GP automotive'!M5)</f>
        <v>-18524.367454621679</v>
      </c>
      <c r="N5" s="59">
        <f>-('Revenue automotive'!N5-'GP automotive'!N5)</f>
        <v>-19450.585827352763</v>
      </c>
      <c r="O5" s="59">
        <f>-('Revenue automotive'!O5-'GP automotive'!O5)</f>
        <v>-20423.115118720405</v>
      </c>
      <c r="P5" s="59">
        <f>-('Revenue automotive'!P5-'GP automotive'!P5)</f>
        <v>-20831.577421094811</v>
      </c>
      <c r="Q5" s="59">
        <f>-('Revenue automotive'!Q5-'GP automotive'!Q5)</f>
        <v>-21248.208969516709</v>
      </c>
      <c r="R5" s="59">
        <f>-('Revenue automotive'!R5-'GP automotive'!R5)</f>
        <v>-21673.173148907044</v>
      </c>
      <c r="S5" s="59">
        <f>-('Revenue automotive'!S5-'GP automotive'!S5)</f>
        <v>-22106.636611885184</v>
      </c>
    </row>
    <row r="6" spans="1:19" x14ac:dyDescent="0.25">
      <c r="B6" s="8" t="s">
        <v>123</v>
      </c>
      <c r="C6" s="42" t="s">
        <v>65</v>
      </c>
      <c r="D6" s="42" t="s">
        <v>65</v>
      </c>
      <c r="E6" s="42" t="s">
        <v>65</v>
      </c>
      <c r="F6" s="42" t="s">
        <v>65</v>
      </c>
      <c r="G6" s="42" t="s">
        <v>65</v>
      </c>
      <c r="H6" s="59">
        <f>-('Revenue automotive'!H6-'GP automotive'!H6)</f>
        <v>-3951.3320975988709</v>
      </c>
      <c r="I6" s="43" t="s">
        <v>65</v>
      </c>
      <c r="J6" s="59">
        <f>-('Revenue automotive'!J6-'GP automotive'!J6)</f>
        <v>-7209.9440779084944</v>
      </c>
      <c r="K6" s="59">
        <f>-('Revenue automotive'!K6-'GP automotive'!K6)</f>
        <v>-7354.1429594666643</v>
      </c>
      <c r="L6" s="59">
        <f>-('Revenue automotive'!L6-'GP automotive'!L6)</f>
        <v>-7501.2258186559966</v>
      </c>
      <c r="M6" s="59">
        <f>-('Revenue automotive'!M6-'GP automotive'!M6)</f>
        <v>-7651.2503350291172</v>
      </c>
      <c r="N6" s="59">
        <f>-('Revenue automotive'!N6-'GP automotive'!N6)</f>
        <v>-7804.2753417296999</v>
      </c>
      <c r="O6" s="59">
        <f>-('Revenue automotive'!O6-'GP automotive'!O6)</f>
        <v>-7960.3608485642953</v>
      </c>
      <c r="P6" s="59">
        <f>-('Revenue automotive'!P6-'GP automotive'!P6)</f>
        <v>-8119.5680655355791</v>
      </c>
      <c r="Q6" s="59">
        <f>-('Revenue automotive'!Q6-'GP automotive'!Q6)</f>
        <v>-8281.9594268462915</v>
      </c>
      <c r="R6" s="59">
        <f>-('Revenue automotive'!R6-'GP automotive'!R6)</f>
        <v>-8447.5986153832182</v>
      </c>
      <c r="S6" s="59">
        <f>-('Revenue automotive'!S6-'GP automotive'!S6)</f>
        <v>-8616.5505876908828</v>
      </c>
    </row>
    <row r="7" spans="1:19" x14ac:dyDescent="0.25">
      <c r="B7" s="8" t="s">
        <v>118</v>
      </c>
      <c r="C7" s="42">
        <v>0</v>
      </c>
      <c r="D7" s="42">
        <v>0</v>
      </c>
      <c r="E7" s="42">
        <v>0</v>
      </c>
      <c r="F7" s="42">
        <v>0</v>
      </c>
      <c r="G7" s="58">
        <f>-('Revenue automotive'!G7-'GP automotive'!G7)</f>
        <v>0</v>
      </c>
      <c r="H7" s="59">
        <f>-('Revenue automotive'!H7-'GP automotive'!H7)</f>
        <v>0</v>
      </c>
      <c r="I7" s="59">
        <f>-('Revenue automotive'!I7-'GP automotive'!I7)</f>
        <v>0</v>
      </c>
      <c r="J7" s="59">
        <f>-('Revenue automotive'!J7-'GP automotive'!J7)</f>
        <v>-71.251212064036878</v>
      </c>
      <c r="K7" s="59">
        <f>-('Revenue automotive'!K7-'GP automotive'!K7)</f>
        <v>-5275.9826075989213</v>
      </c>
      <c r="L7" s="59">
        <f>-('Revenue automotive'!L7-'GP automotive'!L7)</f>
        <v>-10501.879329166433</v>
      </c>
      <c r="M7" s="59">
        <f>-('Revenue automotive'!M7-'GP automotive'!M7)</f>
        <v>-16803.006926666294</v>
      </c>
      <c r="N7" s="59">
        <f>-('Revenue automotive'!N7-'GP automotive'!N7)</f>
        <v>-18483.307619332925</v>
      </c>
      <c r="O7" s="59">
        <f>-('Revenue automotive'!O7-'GP automotive'!O7)</f>
        <v>-20331.638381266221</v>
      </c>
      <c r="P7" s="59">
        <f>-('Revenue automotive'!P7-'GP automotive'!P7)</f>
        <v>-21348.220300329533</v>
      </c>
      <c r="Q7" s="59">
        <f>-('Revenue automotive'!Q7-'GP automotive'!Q7)</f>
        <v>-22415.631315346011</v>
      </c>
      <c r="R7" s="59">
        <f>-('Revenue automotive'!R7-'GP automotive'!R7)</f>
        <v>-22863.943941652928</v>
      </c>
      <c r="S7" s="59">
        <f>-('Revenue automotive'!S7-'GP automotive'!S7)</f>
        <v>-23321.222820485986</v>
      </c>
    </row>
    <row r="8" spans="1:19" x14ac:dyDescent="0.25">
      <c r="B8" s="8" t="s">
        <v>120</v>
      </c>
      <c r="C8" s="42">
        <v>0</v>
      </c>
      <c r="D8" s="42">
        <v>0</v>
      </c>
      <c r="E8" s="42">
        <v>0</v>
      </c>
      <c r="F8" s="42">
        <v>0</v>
      </c>
      <c r="G8" s="58">
        <f>-('Revenue automotive'!G8-'GP automotive'!G8)</f>
        <v>0</v>
      </c>
      <c r="H8" s="59">
        <f>-('Revenue automotive'!H8-'GP automotive'!H8)</f>
        <v>0</v>
      </c>
      <c r="I8" s="59">
        <f>-('Revenue automotive'!I8-'GP automotive'!I8)</f>
        <v>0</v>
      </c>
      <c r="J8" s="59">
        <f>-('Revenue automotive'!J8-'GP automotive'!J8)</f>
        <v>0</v>
      </c>
      <c r="K8" s="59">
        <f>-('Revenue automotive'!K8-'GP automotive'!K8)</f>
        <v>-69.789338310590452</v>
      </c>
      <c r="L8" s="59">
        <f>-('Revenue automotive'!L8-'GP automotive'!L8)</f>
        <v>-139.5786766211809</v>
      </c>
      <c r="M8" s="59">
        <f>-('Revenue automotive'!M8-'GP automotive'!M8)</f>
        <v>-209.36801493177134</v>
      </c>
      <c r="N8" s="59">
        <f>-('Revenue automotive'!N8-'GP automotive'!N8)</f>
        <v>-230.30481642494851</v>
      </c>
      <c r="O8" s="59">
        <f>-('Revenue automotive'!O8-'GP automotive'!O8)</f>
        <v>-253.3352980674434</v>
      </c>
      <c r="P8" s="59">
        <f>-('Revenue automotive'!P8-'GP automotive'!P8)</f>
        <v>-266.00206297081559</v>
      </c>
      <c r="Q8" s="59">
        <f>-('Revenue automotive'!Q8-'GP automotive'!Q8)</f>
        <v>-279.30216611935634</v>
      </c>
      <c r="R8" s="59">
        <f>-('Revenue automotive'!R8-'GP automotive'!R8)</f>
        <v>-284.88820944174347</v>
      </c>
      <c r="S8" s="59">
        <f>-('Revenue automotive'!S8-'GP automotive'!S8)</f>
        <v>-290.58597363057839</v>
      </c>
    </row>
    <row r="9" spans="1:19" x14ac:dyDescent="0.25">
      <c r="B9" s="8" t="s">
        <v>119</v>
      </c>
      <c r="C9" s="42">
        <v>0</v>
      </c>
      <c r="D9" s="42">
        <v>0</v>
      </c>
      <c r="E9" s="42">
        <v>0</v>
      </c>
      <c r="F9" s="42">
        <v>0</v>
      </c>
      <c r="G9" s="58">
        <f>-('Revenue automotive'!G9-'GP automotive'!G9)</f>
        <v>0</v>
      </c>
      <c r="H9" s="59">
        <f>-('Revenue automotive'!H9-'GP automotive'!H9)</f>
        <v>0</v>
      </c>
      <c r="I9" s="59">
        <f>-('Revenue automotive'!I9-'GP automotive'!I9)</f>
        <v>0</v>
      </c>
      <c r="J9" s="59">
        <f>-('Revenue automotive'!J9-'GP automotive'!J9)</f>
        <v>-13.800535989119375</v>
      </c>
      <c r="K9" s="59">
        <f>-('Revenue automotive'!K9-'GP automotive'!K9)</f>
        <v>-1021.896831575268</v>
      </c>
      <c r="L9" s="59">
        <f>-('Revenue automotive'!L9-'GP automotive'!L9)</f>
        <v>-2034.0926061060304</v>
      </c>
      <c r="M9" s="59">
        <f>-('Revenue automotive'!M9-'GP automotive'!M9)</f>
        <v>-3254.5481697696496</v>
      </c>
      <c r="N9" s="59">
        <f>-('Revenue automotive'!N9-'GP automotive'!N9)</f>
        <v>-3580.0029867466146</v>
      </c>
      <c r="O9" s="59">
        <f>-('Revenue automotive'!O9-'GP automotive'!O9)</f>
        <v>-3938.0032854212768</v>
      </c>
      <c r="P9" s="59">
        <f>-('Revenue automotive'!P9-'GP automotive'!P9)</f>
        <v>-4134.9034496923405</v>
      </c>
      <c r="Q9" s="59">
        <f>-('Revenue automotive'!Q9-'GP automotive'!Q9)</f>
        <v>-4341.6486221769574</v>
      </c>
      <c r="R9" s="59">
        <f>-('Revenue automotive'!R9-'GP automotive'!R9)</f>
        <v>-4428.4815946204972</v>
      </c>
      <c r="S9" s="59">
        <f>-('Revenue automotive'!S9-'GP automotive'!S9)</f>
        <v>-4517.0512265129064</v>
      </c>
    </row>
    <row r="10" spans="1:19" x14ac:dyDescent="0.25">
      <c r="B10" s="8" t="s">
        <v>116</v>
      </c>
      <c r="C10" s="42">
        <v>0</v>
      </c>
      <c r="D10" s="42">
        <v>0</v>
      </c>
      <c r="E10" s="42">
        <v>0</v>
      </c>
      <c r="F10" s="42">
        <v>0</v>
      </c>
      <c r="G10" s="58">
        <f>-('Revenue automotive'!G10-'GP automotive'!G10)</f>
        <v>0</v>
      </c>
      <c r="H10" s="59">
        <f>-('Revenue automotive'!H10-'GP automotive'!H10)</f>
        <v>0</v>
      </c>
      <c r="I10" s="59">
        <f>-('Revenue automotive'!I10-'GP automotive'!I10)</f>
        <v>0</v>
      </c>
      <c r="J10" s="59">
        <f>-('Revenue automotive'!J10-'GP automotive'!J10)</f>
        <v>-40.415591271136584</v>
      </c>
      <c r="K10" s="59">
        <f>-('Revenue automotive'!K10-'GP automotive'!K10)</f>
        <v>-2992.6783060293997</v>
      </c>
      <c r="L10" s="59">
        <f>-('Revenue automotive'!L10-'GP automotive'!L10)</f>
        <v>-5956.9465592378192</v>
      </c>
      <c r="M10" s="59">
        <f>-('Revenue automotive'!M10-'GP automotive'!M10)</f>
        <v>-9531.1144947805114</v>
      </c>
      <c r="N10" s="59">
        <f>-('Revenue automotive'!N10-'GP automotive'!N10)</f>
        <v>-10484.225944258562</v>
      </c>
      <c r="O10" s="59">
        <f>-('Revenue automotive'!O10-'GP automotive'!O10)</f>
        <v>-11532.64853868442</v>
      </c>
      <c r="P10" s="59">
        <f>-('Revenue automotive'!P10-'GP automotive'!P10)</f>
        <v>-12109.280965618642</v>
      </c>
      <c r="Q10" s="59">
        <f>-('Revenue automotive'!Q10-'GP automotive'!Q10)</f>
        <v>-12714.745013899575</v>
      </c>
      <c r="R10" s="59">
        <f>-('Revenue automotive'!R10-'GP automotive'!R10)</f>
        <v>-12969.039914177567</v>
      </c>
      <c r="S10" s="59">
        <f>-('Revenue automotive'!S10-'GP automotive'!S10)</f>
        <v>-13228.420712461118</v>
      </c>
    </row>
    <row r="11" spans="1:19" ht="12.6" thickBot="1" x14ac:dyDescent="0.3">
      <c r="B11" s="85" t="s">
        <v>69</v>
      </c>
      <c r="C11" s="96">
        <f>'P&amp;L Input'!C8/1000</f>
        <v>-2145.7489999999998</v>
      </c>
      <c r="D11" s="96">
        <f>'P&amp;L Input'!D8/1000</f>
        <v>-2823.3020000000001</v>
      </c>
      <c r="E11" s="96">
        <f>'P&amp;L Input'!E8/1000</f>
        <v>-4750.0810000000001</v>
      </c>
      <c r="F11" s="96">
        <f>'P&amp;L Input'!F8/1000</f>
        <v>-7432.7039999999997</v>
      </c>
      <c r="G11" s="96">
        <f>-('Revenue automotive'!G11-'GP automotive'!G11)</f>
        <v>-4862.5469999999996</v>
      </c>
      <c r="H11" s="96">
        <f t="shared" ref="H11:N11" si="0">SUM(H5:H10)</f>
        <v>-7778.6807452479779</v>
      </c>
      <c r="I11" s="96">
        <f>-('Revenue automotive'!I11-'GP automotive'!I11)</f>
        <v>-11525.019745247979</v>
      </c>
      <c r="J11" s="96">
        <f t="shared" si="0"/>
        <v>-16903.783036355555</v>
      </c>
      <c r="K11" s="96">
        <f t="shared" si="0"/>
        <v>-32023.884633577272</v>
      </c>
      <c r="L11" s="96">
        <f t="shared" si="0"/>
        <v>-42974.057039443534</v>
      </c>
      <c r="M11" s="96">
        <f t="shared" si="0"/>
        <v>-55973.655395799025</v>
      </c>
      <c r="N11" s="96">
        <f t="shared" si="0"/>
        <v>-60032.702535845514</v>
      </c>
      <c r="O11" s="96">
        <f t="shared" ref="O11:S11" si="1">SUM(O5:O10)</f>
        <v>-64439.101470724068</v>
      </c>
      <c r="P11" s="96">
        <f t="shared" si="1"/>
        <v>-66809.552265241728</v>
      </c>
      <c r="Q11" s="96">
        <f t="shared" si="1"/>
        <v>-69281.495513904898</v>
      </c>
      <c r="R11" s="96">
        <f t="shared" si="1"/>
        <v>-70667.125424183003</v>
      </c>
      <c r="S11" s="96">
        <f t="shared" si="1"/>
        <v>-72080.467932666652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ED890-D3C0-4441-923D-941A92CB4AEE}">
  <dimension ref="A1:S9"/>
  <sheetViews>
    <sheetView workbookViewId="0">
      <selection activeCell="E32" sqref="E32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hidden="1" customWidth="1" outlineLevel="1"/>
    <col min="9" max="9" width="10.33203125" style="8" bestFit="1" customWidth="1" collapsed="1"/>
    <col min="10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227</v>
      </c>
    </row>
    <row r="2" spans="1:19" ht="15.6" x14ac:dyDescent="0.25">
      <c r="A2" s="1"/>
      <c r="B2" s="2"/>
    </row>
    <row r="3" spans="1:19" ht="24" x14ac:dyDescent="0.25">
      <c r="A3" s="1"/>
      <c r="B3" s="30" t="s">
        <v>114</v>
      </c>
      <c r="C3" s="6" t="s">
        <v>45</v>
      </c>
      <c r="D3" s="6" t="s">
        <v>46</v>
      </c>
      <c r="E3" s="6" t="s">
        <v>47</v>
      </c>
      <c r="F3" s="6" t="s">
        <v>107</v>
      </c>
      <c r="G3" s="6"/>
      <c r="H3" s="67"/>
      <c r="I3" s="67" t="s">
        <v>125</v>
      </c>
      <c r="J3" s="67" t="s">
        <v>127</v>
      </c>
      <c r="K3" s="67" t="s">
        <v>128</v>
      </c>
      <c r="L3" s="67" t="s">
        <v>129</v>
      </c>
      <c r="M3" s="67" t="s">
        <v>130</v>
      </c>
      <c r="N3" s="67" t="s">
        <v>131</v>
      </c>
      <c r="O3" s="67" t="s">
        <v>204</v>
      </c>
      <c r="P3" s="67" t="s">
        <v>205</v>
      </c>
      <c r="Q3" s="67" t="s">
        <v>206</v>
      </c>
      <c r="R3" s="67" t="s">
        <v>207</v>
      </c>
      <c r="S3" s="67" t="s">
        <v>208</v>
      </c>
    </row>
    <row r="4" spans="1:19" x14ac:dyDescent="0.25">
      <c r="B4" s="8" t="s">
        <v>228</v>
      </c>
      <c r="C4" s="58">
        <f>'Revenue automotive'!C11</f>
        <v>3007.0120000000002</v>
      </c>
      <c r="D4" s="58">
        <f>'Revenue automotive'!D11</f>
        <v>3740.973</v>
      </c>
      <c r="E4" s="58">
        <f>'Revenue automotive'!E11</f>
        <v>6350.7659999999996</v>
      </c>
      <c r="F4" s="117">
        <f>'Revenue automotive'!F11</f>
        <v>9641.2999999999993</v>
      </c>
      <c r="G4" s="117"/>
      <c r="H4" s="59"/>
      <c r="I4" s="59">
        <f>'Revenue automotive'!I11</f>
        <v>14236.04</v>
      </c>
      <c r="J4" s="59">
        <f>'Revenue automotive'!J11</f>
        <v>19998.95</v>
      </c>
      <c r="K4" s="59">
        <f>'Revenue automotive'!K11</f>
        <v>38090.130952380954</v>
      </c>
      <c r="L4" s="59">
        <f>'Revenue automotive'!L11</f>
        <v>51425.813083900233</v>
      </c>
      <c r="M4" s="59">
        <f>'Revenue automotive'!M11</f>
        <v>67263.070334240372</v>
      </c>
      <c r="N4" s="59">
        <f>'Revenue automotive'!N11</f>
        <v>72174.618855664419</v>
      </c>
      <c r="O4" s="59">
        <f>'Revenue automotive'!O11</f>
        <v>77509.315378990868</v>
      </c>
      <c r="P4" s="59">
        <f>'Revenue automotive'!P11</f>
        <v>80389.920968883598</v>
      </c>
      <c r="Q4" s="59">
        <f>'Revenue automotive'!Q11</f>
        <v>83394.659634689859</v>
      </c>
      <c r="R4" s="59">
        <f>'Revenue automotive'!R11</f>
        <v>85062.552827383639</v>
      </c>
      <c r="S4" s="59">
        <f>'Revenue automotive'!S11</f>
        <v>86763.803883931323</v>
      </c>
    </row>
    <row r="5" spans="1:19" x14ac:dyDescent="0.25">
      <c r="B5" s="8" t="s">
        <v>229</v>
      </c>
      <c r="C5" s="58">
        <f>'GP automotive'!C11</f>
        <v>861.26300000000003</v>
      </c>
      <c r="D5" s="58">
        <f>'GP automotive'!D11</f>
        <v>917.67100000000005</v>
      </c>
      <c r="E5" s="58">
        <f>'GP automotive'!E11</f>
        <v>1600.6849999999999</v>
      </c>
      <c r="F5" s="117">
        <f>'GP automotive'!F11</f>
        <v>2208.596</v>
      </c>
      <c r="G5" s="117"/>
      <c r="H5" s="59"/>
      <c r="I5" s="59">
        <f>'GP automotive'!I11</f>
        <v>2711.0202547520225</v>
      </c>
      <c r="J5" s="59">
        <f>'GP automotive'!J11</f>
        <v>3095.1669636444458</v>
      </c>
      <c r="K5" s="59">
        <f>'GP automotive'!K11</f>
        <v>6066.2463188036818</v>
      </c>
      <c r="L5" s="59">
        <f>'GP automotive'!L11</f>
        <v>8451.7560444566952</v>
      </c>
      <c r="M5" s="59">
        <f>'GP automotive'!M11</f>
        <v>11289.414938441347</v>
      </c>
      <c r="N5" s="59">
        <f>'GP automotive'!N11</f>
        <v>12141.916319818894</v>
      </c>
      <c r="O5" s="59">
        <f>'GP automotive'!O11</f>
        <v>13070.213908266798</v>
      </c>
      <c r="P5" s="59">
        <f>'GP automotive'!P11</f>
        <v>13580.36870364188</v>
      </c>
      <c r="Q5" s="59">
        <f>'GP automotive'!Q11</f>
        <v>14113.164120784952</v>
      </c>
      <c r="R5" s="59">
        <f>'GP automotive'!R11</f>
        <v>14395.427403200651</v>
      </c>
      <c r="S5" s="59">
        <f>'GP automotive'!S11</f>
        <v>14683.335951264664</v>
      </c>
    </row>
    <row r="6" spans="1:19" x14ac:dyDescent="0.25">
      <c r="B6" s="8" t="s">
        <v>160</v>
      </c>
      <c r="C6" s="132">
        <f>C5/C4</f>
        <v>0.28641821183287597</v>
      </c>
      <c r="D6" s="132">
        <f>D5/D4</f>
        <v>0.24530275946926108</v>
      </c>
      <c r="E6" s="132">
        <f>E5/E4</f>
        <v>0.25204597366679865</v>
      </c>
      <c r="F6" s="132">
        <f>F5/F4</f>
        <v>0.2290765768101812</v>
      </c>
      <c r="G6" s="132"/>
      <c r="H6" s="132"/>
      <c r="I6" s="134">
        <f>I5/I4</f>
        <v>0.19043359352404338</v>
      </c>
      <c r="J6" s="134">
        <f t="shared" ref="J6:S6" si="0">J5/J4</f>
        <v>0.15476647342207694</v>
      </c>
      <c r="K6" s="134">
        <f t="shared" si="0"/>
        <v>0.15926031670480487</v>
      </c>
      <c r="L6" s="134">
        <f t="shared" si="0"/>
        <v>0.16434851561156294</v>
      </c>
      <c r="M6" s="134">
        <f t="shared" si="0"/>
        <v>0.16783972070175412</v>
      </c>
      <c r="N6" s="134">
        <f t="shared" si="0"/>
        <v>0.16822972552304613</v>
      </c>
      <c r="O6" s="134">
        <f t="shared" si="0"/>
        <v>0.16862765261644305</v>
      </c>
      <c r="P6" s="134">
        <f t="shared" si="0"/>
        <v>0.1689312359057849</v>
      </c>
      <c r="Q6" s="134">
        <f t="shared" si="0"/>
        <v>0.16923342792701163</v>
      </c>
      <c r="R6" s="134">
        <f t="shared" si="0"/>
        <v>0.16923342792701165</v>
      </c>
      <c r="S6" s="134">
        <f t="shared" si="0"/>
        <v>0.16923342792701163</v>
      </c>
    </row>
    <row r="7" spans="1:19" x14ac:dyDescent="0.25">
      <c r="M7" s="28"/>
      <c r="N7" s="28"/>
      <c r="O7" s="28"/>
      <c r="P7" s="28"/>
      <c r="Q7" s="28"/>
      <c r="R7" s="28"/>
      <c r="S7" s="28"/>
    </row>
    <row r="8" spans="1:19" x14ac:dyDescent="0.25">
      <c r="M8" s="28"/>
      <c r="N8" s="28"/>
      <c r="O8" s="28"/>
      <c r="P8" s="28"/>
      <c r="Q8" s="28"/>
      <c r="R8" s="28"/>
      <c r="S8" s="28"/>
    </row>
    <row r="9" spans="1:19" x14ac:dyDescent="0.25">
      <c r="M9" s="28"/>
      <c r="N9" s="28"/>
      <c r="O9" s="28"/>
      <c r="P9" s="28"/>
      <c r="Q9" s="28"/>
      <c r="R9" s="28"/>
      <c r="S9" s="28"/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E1823-F65C-4BEF-B0CC-05B4DF645263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187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EB440-01FF-4868-AD9E-903A12E92A06}">
  <dimension ref="A1:S22"/>
  <sheetViews>
    <sheetView workbookViewId="0">
      <selection activeCell="J12" sqref="J12"/>
    </sheetView>
  </sheetViews>
  <sheetFormatPr defaultColWidth="9.109375" defaultRowHeight="11.4" outlineLevelCol="1" x14ac:dyDescent="0.25"/>
  <cols>
    <col min="1" max="1" width="2" style="8" customWidth="1"/>
    <col min="2" max="2" width="28" style="8" customWidth="1"/>
    <col min="3" max="6" width="9.77734375" style="8" customWidth="1"/>
    <col min="7" max="8" width="9.77734375" style="8" customWidth="1" outlineLevel="1"/>
    <col min="9" max="14" width="9.77734375" style="8" customWidth="1"/>
    <col min="15" max="16384" width="9.109375" style="8"/>
  </cols>
  <sheetData>
    <row r="1" spans="1:19" ht="15.6" x14ac:dyDescent="0.25">
      <c r="A1" s="1"/>
      <c r="B1" s="2" t="s">
        <v>194</v>
      </c>
    </row>
    <row r="2" spans="1:19" ht="15.6" x14ac:dyDescent="0.25">
      <c r="A2" s="1"/>
      <c r="B2" s="2"/>
    </row>
    <row r="3" spans="1:19" ht="12" x14ac:dyDescent="0.25">
      <c r="C3" s="136" t="s">
        <v>231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4" spans="1:19" ht="24" x14ac:dyDescent="0.25">
      <c r="B4" s="5" t="s">
        <v>197</v>
      </c>
      <c r="C4" s="6" t="s">
        <v>45</v>
      </c>
      <c r="D4" s="6" t="s">
        <v>46</v>
      </c>
      <c r="E4" s="6" t="s">
        <v>47</v>
      </c>
      <c r="F4" s="6" t="s">
        <v>107</v>
      </c>
      <c r="G4" s="6" t="s">
        <v>115</v>
      </c>
      <c r="H4" s="67" t="s">
        <v>126</v>
      </c>
      <c r="I4" s="67" t="s">
        <v>125</v>
      </c>
      <c r="J4" s="67" t="s">
        <v>127</v>
      </c>
      <c r="K4" s="67" t="s">
        <v>128</v>
      </c>
      <c r="L4" s="67" t="s">
        <v>129</v>
      </c>
      <c r="M4" s="67" t="s">
        <v>130</v>
      </c>
      <c r="N4" s="67" t="s">
        <v>131</v>
      </c>
      <c r="O4" s="67" t="s">
        <v>204</v>
      </c>
      <c r="P4" s="67" t="s">
        <v>205</v>
      </c>
      <c r="Q4" s="67" t="s">
        <v>206</v>
      </c>
      <c r="R4" s="67" t="s">
        <v>207</v>
      </c>
      <c r="S4" s="67" t="s">
        <v>208</v>
      </c>
    </row>
    <row r="5" spans="1:19" x14ac:dyDescent="0.25">
      <c r="B5" s="8" t="s">
        <v>3</v>
      </c>
      <c r="C5" s="58">
        <f>'P&amp;L Input'!C5/1000</f>
        <v>4.2080000000000002</v>
      </c>
      <c r="D5" s="58">
        <f>'P&amp;L Input'!D5/1000</f>
        <v>14.477</v>
      </c>
      <c r="E5" s="58">
        <f>'P&amp;L Input'!E5/1000</f>
        <v>181.39400000000001</v>
      </c>
      <c r="F5" s="58">
        <f>'P&amp;L Input'!F5/1000</f>
        <v>1116.2660000000001</v>
      </c>
      <c r="G5" s="58">
        <f>'P&amp;L Input'!G5/1000</f>
        <v>784.43</v>
      </c>
      <c r="H5" s="59">
        <f>G5</f>
        <v>784.43</v>
      </c>
      <c r="I5" s="59">
        <f>G5+H5</f>
        <v>1568.86</v>
      </c>
      <c r="J5" s="43" t="s">
        <v>65</v>
      </c>
      <c r="K5" s="43" t="s">
        <v>65</v>
      </c>
      <c r="L5" s="43" t="s">
        <v>65</v>
      </c>
      <c r="M5" s="43" t="s">
        <v>65</v>
      </c>
      <c r="N5" s="43" t="s">
        <v>65</v>
      </c>
      <c r="O5" s="43" t="s">
        <v>65</v>
      </c>
      <c r="P5" s="43" t="s">
        <v>65</v>
      </c>
      <c r="Q5" s="43" t="s">
        <v>65</v>
      </c>
      <c r="R5" s="43" t="s">
        <v>65</v>
      </c>
      <c r="S5" s="43" t="s">
        <v>65</v>
      </c>
    </row>
    <row r="6" spans="1:19" x14ac:dyDescent="0.25">
      <c r="B6" s="8" t="s">
        <v>2</v>
      </c>
      <c r="C6" s="58">
        <f>'P&amp;L Input'!C6/1000</f>
        <v>187.136</v>
      </c>
      <c r="D6" s="58">
        <f>'P&amp;L Input'!D6/1000</f>
        <v>290.57499999999999</v>
      </c>
      <c r="E6" s="58">
        <f>'P&amp;L Input'!E6/1000</f>
        <v>467.97199999999998</v>
      </c>
      <c r="F6" s="58">
        <f>'P&amp;L Input'!F6/1000</f>
        <v>1001.1849999999999</v>
      </c>
      <c r="G6" s="58">
        <f>'P&amp;L Input'!G6/1000</f>
        <v>533.55399999999997</v>
      </c>
      <c r="H6" s="59">
        <f>G6</f>
        <v>533.55399999999997</v>
      </c>
      <c r="I6" s="59">
        <f>G6+H6</f>
        <v>1067.1079999999999</v>
      </c>
      <c r="J6" s="43" t="s">
        <v>65</v>
      </c>
      <c r="K6" s="43" t="s">
        <v>65</v>
      </c>
      <c r="L6" s="43" t="s">
        <v>65</v>
      </c>
      <c r="M6" s="43" t="s">
        <v>65</v>
      </c>
      <c r="N6" s="43" t="s">
        <v>65</v>
      </c>
      <c r="O6" s="43" t="s">
        <v>65</v>
      </c>
      <c r="P6" s="43" t="s">
        <v>65</v>
      </c>
      <c r="Q6" s="43" t="s">
        <v>65</v>
      </c>
      <c r="R6" s="43" t="s">
        <v>65</v>
      </c>
      <c r="S6" s="43" t="s">
        <v>65</v>
      </c>
    </row>
    <row r="7" spans="1:19" ht="12" x14ac:dyDescent="0.25">
      <c r="B7" s="9" t="s">
        <v>156</v>
      </c>
      <c r="C7" s="75">
        <f>SUM(C5:C6)</f>
        <v>191.34399999999999</v>
      </c>
      <c r="D7" s="75">
        <f>SUM(D5:D6)</f>
        <v>305.05199999999996</v>
      </c>
      <c r="E7" s="75">
        <f>SUM(E5:E6)</f>
        <v>649.36599999999999</v>
      </c>
      <c r="F7" s="75">
        <f>SUM(F5:F6)</f>
        <v>2117.451</v>
      </c>
      <c r="G7" s="75">
        <f>SUM(G5:G6)</f>
        <v>1317.9839999999999</v>
      </c>
      <c r="H7" s="76">
        <f t="shared" ref="H7:I7" si="0">SUM(H5:H6)</f>
        <v>1317.9839999999999</v>
      </c>
      <c r="I7" s="76">
        <f t="shared" si="0"/>
        <v>2635.9679999999998</v>
      </c>
      <c r="J7" s="76">
        <f>I7*(1+J12)</f>
        <v>3057.7228799999998</v>
      </c>
      <c r="K7" s="76">
        <f t="shared" ref="K7:N7" si="1">J7*(1+K12)</f>
        <v>3424.6496256</v>
      </c>
      <c r="L7" s="76">
        <f t="shared" si="1"/>
        <v>3698.6215956480005</v>
      </c>
      <c r="M7" s="76">
        <f t="shared" si="1"/>
        <v>3920.5388913868806</v>
      </c>
      <c r="N7" s="76">
        <f t="shared" si="1"/>
        <v>4155.7712248700936</v>
      </c>
      <c r="O7" s="76">
        <f t="shared" ref="O7" si="2">N7*(1+O12)</f>
        <v>4405.1174983622996</v>
      </c>
      <c r="P7" s="76">
        <f t="shared" ref="P7" si="3">O7*(1+P12)</f>
        <v>4669.4245482640381</v>
      </c>
      <c r="Q7" s="76">
        <f t="shared" ref="Q7" si="4">P7*(1+Q12)</f>
        <v>4949.590021159881</v>
      </c>
      <c r="R7" s="76">
        <f t="shared" ref="R7" si="5">Q7*(1+R12)</f>
        <v>5246.565422429474</v>
      </c>
      <c r="S7" s="76">
        <f t="shared" ref="S7" si="6">R7*(1+S12)</f>
        <v>5561.3593477752429</v>
      </c>
    </row>
    <row r="8" spans="1:19" x14ac:dyDescent="0.25">
      <c r="B8" s="8" t="s">
        <v>162</v>
      </c>
      <c r="C8" s="58">
        <v>255.03100000000001</v>
      </c>
      <c r="D8" s="58">
        <v>399.61900000000003</v>
      </c>
      <c r="E8" s="58">
        <v>730.34199999999998</v>
      </c>
      <c r="F8" s="58">
        <v>0</v>
      </c>
      <c r="G8" s="58">
        <v>0</v>
      </c>
      <c r="H8" s="59">
        <v>0</v>
      </c>
      <c r="I8" s="59">
        <f>G8+H8</f>
        <v>0</v>
      </c>
      <c r="J8" s="43" t="s">
        <v>65</v>
      </c>
      <c r="K8" s="43" t="s">
        <v>65</v>
      </c>
      <c r="L8" s="43" t="s">
        <v>65</v>
      </c>
      <c r="M8" s="43" t="s">
        <v>65</v>
      </c>
      <c r="N8" s="43" t="s">
        <v>65</v>
      </c>
      <c r="O8" s="43" t="s">
        <v>65</v>
      </c>
      <c r="P8" s="43" t="s">
        <v>65</v>
      </c>
      <c r="Q8" s="43" t="s">
        <v>65</v>
      </c>
      <c r="R8" s="43" t="s">
        <v>65</v>
      </c>
      <c r="S8" s="43" t="s">
        <v>65</v>
      </c>
    </row>
    <row r="9" spans="1:19" ht="12.6" thickBot="1" x14ac:dyDescent="0.3">
      <c r="B9" s="85" t="s">
        <v>163</v>
      </c>
      <c r="C9" s="96">
        <f>SUM(C7:C8)</f>
        <v>446.375</v>
      </c>
      <c r="D9" s="96">
        <f t="shared" ref="D9:G9" si="7">SUM(D7:D8)</f>
        <v>704.67100000000005</v>
      </c>
      <c r="E9" s="96">
        <f t="shared" si="7"/>
        <v>1379.7080000000001</v>
      </c>
      <c r="F9" s="96">
        <f t="shared" si="7"/>
        <v>2117.451</v>
      </c>
      <c r="G9" s="96">
        <f t="shared" si="7"/>
        <v>1317.9839999999999</v>
      </c>
      <c r="H9" s="96">
        <f t="shared" ref="H9" si="8">SUM(H7:H8)</f>
        <v>1317.9839999999999</v>
      </c>
      <c r="I9" s="96">
        <f t="shared" ref="I9" si="9">SUM(I7:I8)</f>
        <v>2635.9679999999998</v>
      </c>
      <c r="J9" s="96">
        <f t="shared" ref="J9" si="10">SUM(J7:J8)</f>
        <v>3057.7228799999998</v>
      </c>
      <c r="K9" s="96">
        <f t="shared" ref="K9" si="11">SUM(K7:K8)</f>
        <v>3424.6496256</v>
      </c>
      <c r="L9" s="96">
        <f t="shared" ref="L9" si="12">SUM(L7:L8)</f>
        <v>3698.6215956480005</v>
      </c>
      <c r="M9" s="96">
        <f t="shared" ref="M9" si="13">SUM(M7:M8)</f>
        <v>3920.5388913868806</v>
      </c>
      <c r="N9" s="96">
        <f t="shared" ref="N9:S9" si="14">SUM(N7:N8)</f>
        <v>4155.7712248700936</v>
      </c>
      <c r="O9" s="96">
        <f t="shared" si="14"/>
        <v>4405.1174983622996</v>
      </c>
      <c r="P9" s="96">
        <f t="shared" si="14"/>
        <v>4669.4245482640381</v>
      </c>
      <c r="Q9" s="96">
        <f t="shared" si="14"/>
        <v>4949.590021159881</v>
      </c>
      <c r="R9" s="96">
        <f t="shared" si="14"/>
        <v>5246.565422429474</v>
      </c>
      <c r="S9" s="96">
        <f t="shared" si="14"/>
        <v>5561.3593477752429</v>
      </c>
    </row>
    <row r="10" spans="1:19" ht="3" customHeight="1" x14ac:dyDescent="0.25"/>
    <row r="11" spans="1:19" x14ac:dyDescent="0.25">
      <c r="B11" s="60" t="s">
        <v>75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</row>
    <row r="12" spans="1:19" x14ac:dyDescent="0.25">
      <c r="B12" s="61" t="s">
        <v>156</v>
      </c>
      <c r="C12" s="64"/>
      <c r="D12" s="64"/>
      <c r="E12" s="64"/>
      <c r="F12" s="64"/>
      <c r="G12" s="61"/>
      <c r="H12" s="61"/>
      <c r="I12" s="63"/>
      <c r="J12" s="63">
        <f>CHOOSE(Drivers!$C$3,'Revenue Energy &amp; Other'!J16,'Revenue Energy &amp; Other'!J19,'Revenue Energy &amp; Other'!J22)</f>
        <v>0.16</v>
      </c>
      <c r="K12" s="63">
        <f>CHOOSE(Drivers!$C$3,'Revenue Energy &amp; Other'!K16,'Revenue Energy &amp; Other'!K19,'Revenue Energy &amp; Other'!K22)</f>
        <v>0.12</v>
      </c>
      <c r="L12" s="63">
        <f>CHOOSE(Drivers!$C$3,'Revenue Energy &amp; Other'!L16,'Revenue Energy &amp; Other'!L19,'Revenue Energy &amp; Other'!L22)</f>
        <v>0.08</v>
      </c>
      <c r="M12" s="63">
        <f>CHOOSE(Drivers!$C$3,'Revenue Energy &amp; Other'!M16,'Revenue Energy &amp; Other'!M19,'Revenue Energy &amp; Other'!M22)</f>
        <v>0.06</v>
      </c>
      <c r="N12" s="63">
        <f>CHOOSE(Drivers!$C$3,'Revenue Energy &amp; Other'!N16,'Revenue Energy &amp; Other'!N19,'Revenue Energy &amp; Other'!N22)</f>
        <v>0.06</v>
      </c>
      <c r="O12" s="63">
        <f>CHOOSE(Drivers!$C$3,'Revenue Energy &amp; Other'!O16,'Revenue Energy &amp; Other'!O19,'Revenue Energy &amp; Other'!O22)</f>
        <v>0.06</v>
      </c>
      <c r="P12" s="63">
        <f>CHOOSE(Drivers!$C$3,'Revenue Energy &amp; Other'!P16,'Revenue Energy &amp; Other'!P19,'Revenue Energy &amp; Other'!P22)</f>
        <v>0.06</v>
      </c>
      <c r="Q12" s="63">
        <f>CHOOSE(Drivers!$C$3,'Revenue Energy &amp; Other'!Q16,'Revenue Energy &amp; Other'!Q19,'Revenue Energy &amp; Other'!Q22)</f>
        <v>0.06</v>
      </c>
      <c r="R12" s="63">
        <f>CHOOSE(Drivers!$C$3,'Revenue Energy &amp; Other'!R16,'Revenue Energy &amp; Other'!R19,'Revenue Energy &amp; Other'!R22)</f>
        <v>0.06</v>
      </c>
      <c r="S12" s="63">
        <f>CHOOSE(Drivers!$C$3,'Revenue Energy &amp; Other'!S16,'Revenue Energy &amp; Other'!S19,'Revenue Energy &amp; Other'!S22)</f>
        <v>0.06</v>
      </c>
    </row>
    <row r="13" spans="1:19" x14ac:dyDescent="0.25">
      <c r="B13" s="61"/>
      <c r="C13" s="64"/>
      <c r="D13" s="64"/>
      <c r="E13" s="64"/>
      <c r="F13" s="64"/>
      <c r="G13" s="61"/>
      <c r="H13" s="61"/>
      <c r="I13" s="64"/>
      <c r="J13" s="64"/>
      <c r="K13" s="62"/>
      <c r="L13" s="62"/>
      <c r="M13" s="62"/>
      <c r="N13" s="62"/>
      <c r="O13" s="62"/>
      <c r="P13" s="62"/>
      <c r="Q13" s="62"/>
      <c r="R13" s="62"/>
      <c r="S13" s="62"/>
    </row>
    <row r="14" spans="1:19" x14ac:dyDescent="0.25">
      <c r="B14" s="77" t="s">
        <v>157</v>
      </c>
      <c r="C14" s="64"/>
      <c r="D14" s="64"/>
      <c r="E14" s="64"/>
      <c r="F14" s="64"/>
      <c r="G14" s="61"/>
      <c r="H14" s="61"/>
      <c r="I14" s="64"/>
      <c r="J14" s="64"/>
      <c r="K14" s="62"/>
      <c r="L14" s="62"/>
      <c r="M14" s="62"/>
      <c r="N14" s="62"/>
      <c r="O14" s="62"/>
      <c r="P14" s="62"/>
      <c r="Q14" s="62"/>
      <c r="R14" s="62"/>
      <c r="S14" s="62"/>
    </row>
    <row r="15" spans="1:19" x14ac:dyDescent="0.25">
      <c r="B15" s="60" t="s">
        <v>71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</row>
    <row r="16" spans="1:19" x14ac:dyDescent="0.25">
      <c r="B16" s="61" t="s">
        <v>156</v>
      </c>
      <c r="C16" s="64"/>
      <c r="D16" s="48"/>
      <c r="E16" s="48"/>
      <c r="F16" s="48"/>
      <c r="G16" s="61"/>
      <c r="H16" s="61"/>
      <c r="I16" s="48"/>
      <c r="J16" s="48">
        <f t="shared" ref="J16:N16" si="15">J19+2%</f>
        <v>0.18</v>
      </c>
      <c r="K16" s="48">
        <f t="shared" si="15"/>
        <v>0.13999999999999999</v>
      </c>
      <c r="L16" s="48">
        <f t="shared" si="15"/>
        <v>0.1</v>
      </c>
      <c r="M16" s="48">
        <f t="shared" si="15"/>
        <v>0.08</v>
      </c>
      <c r="N16" s="48">
        <f t="shared" si="15"/>
        <v>0.08</v>
      </c>
      <c r="O16" s="48">
        <f t="shared" ref="O16:S16" si="16">O19+2%</f>
        <v>0.08</v>
      </c>
      <c r="P16" s="48">
        <f t="shared" si="16"/>
        <v>0.08</v>
      </c>
      <c r="Q16" s="48">
        <f t="shared" si="16"/>
        <v>0.08</v>
      </c>
      <c r="R16" s="48">
        <f t="shared" si="16"/>
        <v>0.08</v>
      </c>
      <c r="S16" s="48">
        <f t="shared" si="16"/>
        <v>0.08</v>
      </c>
    </row>
    <row r="17" spans="2:19" x14ac:dyDescent="0.25">
      <c r="B17" s="61"/>
      <c r="C17" s="64"/>
      <c r="D17" s="64"/>
      <c r="E17" s="64"/>
      <c r="F17" s="64"/>
      <c r="G17" s="61"/>
      <c r="H17" s="61"/>
      <c r="I17" s="64"/>
      <c r="J17" s="64"/>
      <c r="K17" s="62"/>
      <c r="L17" s="62"/>
      <c r="M17" s="62"/>
      <c r="N17" s="62"/>
      <c r="O17" s="62"/>
      <c r="P17" s="62"/>
      <c r="Q17" s="62"/>
      <c r="R17" s="62"/>
      <c r="S17" s="62"/>
    </row>
    <row r="18" spans="2:19" x14ac:dyDescent="0.25">
      <c r="B18" s="60" t="s">
        <v>72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</row>
    <row r="19" spans="2:19" x14ac:dyDescent="0.25">
      <c r="B19" s="61" t="s">
        <v>156</v>
      </c>
      <c r="C19" s="64"/>
      <c r="D19" s="48">
        <f>D9/C9-1</f>
        <v>0.57865247829739586</v>
      </c>
      <c r="E19" s="48">
        <f>E9/D9-1</f>
        <v>0.9579463324019295</v>
      </c>
      <c r="F19" s="48">
        <f>F9/E9-1</f>
        <v>0.53470951824588964</v>
      </c>
      <c r="G19" s="61"/>
      <c r="H19" s="61"/>
      <c r="I19" s="48"/>
      <c r="J19" s="63">
        <v>0.16</v>
      </c>
      <c r="K19" s="63">
        <v>0.12</v>
      </c>
      <c r="L19" s="63">
        <v>0.08</v>
      </c>
      <c r="M19" s="63">
        <v>0.06</v>
      </c>
      <c r="N19" s="63">
        <v>0.06</v>
      </c>
      <c r="O19" s="63">
        <v>0.06</v>
      </c>
      <c r="P19" s="63">
        <v>0.06</v>
      </c>
      <c r="Q19" s="63">
        <v>0.06</v>
      </c>
      <c r="R19" s="63">
        <v>0.06</v>
      </c>
      <c r="S19" s="63">
        <v>0.06</v>
      </c>
    </row>
    <row r="20" spans="2:19" x14ac:dyDescent="0.25">
      <c r="B20" s="61"/>
      <c r="C20" s="64"/>
      <c r="D20" s="64"/>
      <c r="E20" s="64"/>
      <c r="F20" s="64"/>
      <c r="G20" s="61"/>
      <c r="H20" s="61"/>
      <c r="I20" s="64"/>
      <c r="J20" s="64"/>
      <c r="K20" s="62"/>
      <c r="L20" s="62"/>
      <c r="M20" s="62"/>
      <c r="N20" s="62"/>
      <c r="O20" s="62"/>
      <c r="P20" s="62"/>
      <c r="Q20" s="62"/>
      <c r="R20" s="62"/>
      <c r="S20" s="62"/>
    </row>
    <row r="21" spans="2:19" x14ac:dyDescent="0.25">
      <c r="B21" s="60" t="s">
        <v>73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</row>
    <row r="22" spans="2:19" x14ac:dyDescent="0.25">
      <c r="B22" s="61" t="s">
        <v>156</v>
      </c>
      <c r="C22" s="64"/>
      <c r="D22" s="48"/>
      <c r="E22" s="48"/>
      <c r="F22" s="48"/>
      <c r="G22" s="61"/>
      <c r="H22" s="61"/>
      <c r="I22" s="48"/>
      <c r="J22" s="48">
        <f t="shared" ref="J22:N22" si="17">J19-2%</f>
        <v>0.14000000000000001</v>
      </c>
      <c r="K22" s="48">
        <f t="shared" si="17"/>
        <v>9.9999999999999992E-2</v>
      </c>
      <c r="L22" s="48">
        <f t="shared" si="17"/>
        <v>0.06</v>
      </c>
      <c r="M22" s="48">
        <f t="shared" si="17"/>
        <v>3.9999999999999994E-2</v>
      </c>
      <c r="N22" s="48">
        <f t="shared" si="17"/>
        <v>3.9999999999999994E-2</v>
      </c>
      <c r="O22" s="48">
        <f t="shared" ref="O22:S22" si="18">O19-2%</f>
        <v>3.9999999999999994E-2</v>
      </c>
      <c r="P22" s="48">
        <f t="shared" si="18"/>
        <v>3.9999999999999994E-2</v>
      </c>
      <c r="Q22" s="48">
        <f t="shared" si="18"/>
        <v>3.9999999999999994E-2</v>
      </c>
      <c r="R22" s="48">
        <f t="shared" si="18"/>
        <v>3.9999999999999994E-2</v>
      </c>
      <c r="S22" s="48">
        <f t="shared" si="18"/>
        <v>3.9999999999999994E-2</v>
      </c>
    </row>
  </sheetData>
  <mergeCells count="1">
    <mergeCell ref="C3:S3"/>
  </mergeCells>
  <pageMargins left="0.7" right="0.7" top="0.75" bottom="0.75" header="0.3" footer="0.3"/>
  <pageSetup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5FE3F-18C5-43C9-BAAD-7795D096AA55}">
  <dimension ref="A1:S22"/>
  <sheetViews>
    <sheetView workbookViewId="0">
      <selection activeCell="I9" sqref="I9"/>
    </sheetView>
  </sheetViews>
  <sheetFormatPr defaultColWidth="9.109375" defaultRowHeight="11.4" outlineLevelCol="1" x14ac:dyDescent="0.25"/>
  <cols>
    <col min="1" max="1" width="2" style="8" customWidth="1"/>
    <col min="2" max="2" width="28.88671875" style="8" customWidth="1"/>
    <col min="3" max="6" width="9.77734375" style="8" customWidth="1"/>
    <col min="7" max="8" width="9.77734375" style="8" customWidth="1" outlineLevel="1"/>
    <col min="9" max="14" width="9.77734375" style="8" customWidth="1"/>
    <col min="15" max="16384" width="9.109375" style="8"/>
  </cols>
  <sheetData>
    <row r="1" spans="1:19" ht="24" x14ac:dyDescent="0.25">
      <c r="A1" s="1"/>
      <c r="B1" s="2" t="s">
        <v>158</v>
      </c>
      <c r="O1" s="67" t="s">
        <v>205</v>
      </c>
    </row>
    <row r="2" spans="1:19" ht="15.6" x14ac:dyDescent="0.25">
      <c r="A2" s="1"/>
      <c r="B2" s="2"/>
    </row>
    <row r="3" spans="1:19" ht="12" x14ac:dyDescent="0.25">
      <c r="C3" s="136" t="s">
        <v>161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4" spans="1:19" ht="24" x14ac:dyDescent="0.25">
      <c r="B4" s="5" t="s">
        <v>197</v>
      </c>
      <c r="C4" s="6" t="s">
        <v>45</v>
      </c>
      <c r="D4" s="6" t="s">
        <v>46</v>
      </c>
      <c r="E4" s="6" t="s">
        <v>47</v>
      </c>
      <c r="F4" s="6" t="s">
        <v>107</v>
      </c>
      <c r="G4" s="6" t="s">
        <v>115</v>
      </c>
      <c r="H4" s="67" t="s">
        <v>126</v>
      </c>
      <c r="I4" s="67" t="s">
        <v>125</v>
      </c>
      <c r="J4" s="67" t="s">
        <v>127</v>
      </c>
      <c r="K4" s="67" t="s">
        <v>128</v>
      </c>
      <c r="L4" s="67" t="s">
        <v>129</v>
      </c>
      <c r="M4" s="67" t="s">
        <v>130</v>
      </c>
      <c r="N4" s="67" t="s">
        <v>131</v>
      </c>
      <c r="O4" s="67" t="s">
        <v>204</v>
      </c>
      <c r="Q4" s="67" t="s">
        <v>206</v>
      </c>
      <c r="R4" s="67" t="s">
        <v>207</v>
      </c>
      <c r="S4" s="67" t="s">
        <v>208</v>
      </c>
    </row>
    <row r="5" spans="1:19" x14ac:dyDescent="0.25">
      <c r="B5" s="8" t="s">
        <v>3</v>
      </c>
      <c r="C5" s="13">
        <f>('P&amp;L Input'!C5+'P&amp;L Input'!C9)/1000</f>
        <v>0.20300000000000001</v>
      </c>
      <c r="D5" s="13">
        <f>('P&amp;L Input'!D5+'P&amp;L Input'!D9)/1000</f>
        <v>2.19</v>
      </c>
      <c r="E5" s="13">
        <f>('P&amp;L Input'!E5+'P&amp;L Input'!E9)/1000</f>
        <v>3.0619999999999998</v>
      </c>
      <c r="F5" s="13">
        <f>('P&amp;L Input'!F5+'P&amp;L Input'!F9)/1000</f>
        <v>241.72800000000001</v>
      </c>
      <c r="G5" s="42">
        <f>('P&amp;L Input'!G5+'P&amp;L Input'!G9)/1000</f>
        <v>78.793999999999997</v>
      </c>
      <c r="H5" s="43" t="s">
        <v>65</v>
      </c>
      <c r="I5" s="43" t="s">
        <v>65</v>
      </c>
      <c r="J5" s="43" t="s">
        <v>65</v>
      </c>
      <c r="K5" s="43" t="s">
        <v>65</v>
      </c>
      <c r="L5" s="43" t="s">
        <v>65</v>
      </c>
      <c r="M5" s="43" t="s">
        <v>65</v>
      </c>
      <c r="N5" s="43" t="s">
        <v>65</v>
      </c>
      <c r="O5" s="43" t="s">
        <v>65</v>
      </c>
      <c r="P5" s="43" t="s">
        <v>65</v>
      </c>
      <c r="Q5" s="43" t="s">
        <v>65</v>
      </c>
      <c r="R5" s="43" t="s">
        <v>65</v>
      </c>
      <c r="S5" s="43" t="s">
        <v>65</v>
      </c>
    </row>
    <row r="6" spans="1:19" x14ac:dyDescent="0.25">
      <c r="B6" s="8" t="s">
        <v>2</v>
      </c>
      <c r="C6" s="13">
        <f>('P&amp;L Input'!C6+'P&amp;L Input'!C10)/1000</f>
        <v>20.204999999999998</v>
      </c>
      <c r="D6" s="13">
        <f>('P&amp;L Input'!D6+'P&amp;L Input'!D10)/1000</f>
        <v>3.6419999999999999</v>
      </c>
      <c r="E6" s="13">
        <f>('P&amp;L Input'!E6+'P&amp;L Input'!E10)/1000</f>
        <v>-4.49</v>
      </c>
      <c r="F6" s="13">
        <f>('P&amp;L Input'!F6+'P&amp;L Input'!F10)/1000</f>
        <v>-227.83699999999999</v>
      </c>
      <c r="G6" s="58">
        <f>('P&amp;L Input'!G6+'P&amp;L Input'!G10)/1000</f>
        <v>-233.78899999999999</v>
      </c>
      <c r="H6" s="43" t="s">
        <v>65</v>
      </c>
      <c r="I6" s="43" t="s">
        <v>65</v>
      </c>
      <c r="J6" s="43" t="s">
        <v>65</v>
      </c>
      <c r="K6" s="43" t="s">
        <v>65</v>
      </c>
      <c r="L6" s="43" t="s">
        <v>65</v>
      </c>
      <c r="M6" s="43" t="s">
        <v>65</v>
      </c>
      <c r="N6" s="43" t="s">
        <v>65</v>
      </c>
      <c r="O6" s="43" t="s">
        <v>65</v>
      </c>
      <c r="P6" s="43" t="s">
        <v>65</v>
      </c>
      <c r="Q6" s="43" t="s">
        <v>65</v>
      </c>
      <c r="R6" s="43" t="s">
        <v>65</v>
      </c>
      <c r="S6" s="43" t="s">
        <v>65</v>
      </c>
    </row>
    <row r="7" spans="1:19" ht="12" x14ac:dyDescent="0.25">
      <c r="B7" s="9" t="s">
        <v>156</v>
      </c>
      <c r="C7" s="75">
        <f>SUM(C5:C6)</f>
        <v>20.407999999999998</v>
      </c>
      <c r="D7" s="75">
        <f t="shared" ref="D7:G7" si="0">SUM(D5:D6)</f>
        <v>5.8319999999999999</v>
      </c>
      <c r="E7" s="75">
        <f t="shared" si="0"/>
        <v>-1.4280000000000004</v>
      </c>
      <c r="F7" s="75">
        <f t="shared" si="0"/>
        <v>13.89100000000002</v>
      </c>
      <c r="G7" s="75">
        <f t="shared" si="0"/>
        <v>-154.995</v>
      </c>
      <c r="H7" s="45" t="s">
        <v>65</v>
      </c>
      <c r="I7" s="45" t="s">
        <v>65</v>
      </c>
      <c r="J7" s="45" t="s">
        <v>65</v>
      </c>
      <c r="K7" s="45" t="s">
        <v>65</v>
      </c>
      <c r="L7" s="45" t="s">
        <v>65</v>
      </c>
      <c r="M7" s="45" t="s">
        <v>65</v>
      </c>
      <c r="N7" s="45" t="s">
        <v>65</v>
      </c>
      <c r="O7" s="45" t="s">
        <v>65</v>
      </c>
      <c r="P7" s="45" t="s">
        <v>65</v>
      </c>
      <c r="Q7" s="45" t="s">
        <v>65</v>
      </c>
      <c r="R7" s="45" t="s">
        <v>65</v>
      </c>
      <c r="S7" s="45" t="s">
        <v>65</v>
      </c>
    </row>
    <row r="8" spans="1:19" x14ac:dyDescent="0.25">
      <c r="B8" s="8" t="s">
        <v>162</v>
      </c>
      <c r="C8" s="78">
        <f>(255031-176432)/1000</f>
        <v>78.599000000000004</v>
      </c>
      <c r="D8" s="58">
        <f>(399619-280791)/1000</f>
        <v>118.828</v>
      </c>
      <c r="E8" s="58">
        <f>(730342-478922)/1000</f>
        <v>251.42</v>
      </c>
      <c r="F8" s="58">
        <v>0</v>
      </c>
      <c r="G8" s="58">
        <v>0</v>
      </c>
      <c r="H8" s="43" t="s">
        <v>65</v>
      </c>
      <c r="I8" s="43" t="s">
        <v>65</v>
      </c>
      <c r="J8" s="43" t="s">
        <v>65</v>
      </c>
      <c r="K8" s="43" t="s">
        <v>65</v>
      </c>
      <c r="L8" s="43" t="s">
        <v>65</v>
      </c>
      <c r="M8" s="43" t="s">
        <v>65</v>
      </c>
      <c r="N8" s="43" t="s">
        <v>65</v>
      </c>
      <c r="O8" s="43" t="s">
        <v>65</v>
      </c>
      <c r="P8" s="43" t="s">
        <v>65</v>
      </c>
      <c r="Q8" s="43" t="s">
        <v>65</v>
      </c>
      <c r="R8" s="43" t="s">
        <v>65</v>
      </c>
      <c r="S8" s="43" t="s">
        <v>65</v>
      </c>
    </row>
    <row r="9" spans="1:19" ht="12.6" thickBot="1" x14ac:dyDescent="0.3">
      <c r="B9" s="85" t="s">
        <v>163</v>
      </c>
      <c r="C9" s="96">
        <f>SUM(C7:C8)</f>
        <v>99.007000000000005</v>
      </c>
      <c r="D9" s="96">
        <f>SUM(D7:D8)</f>
        <v>124.66</v>
      </c>
      <c r="E9" s="96">
        <f>SUM(E7:E8)</f>
        <v>249.99199999999999</v>
      </c>
      <c r="F9" s="96">
        <f>SUM(F7:F8)</f>
        <v>13.89100000000002</v>
      </c>
      <c r="G9" s="96">
        <f>SUM(G7:G8)</f>
        <v>-154.995</v>
      </c>
      <c r="H9" s="128" t="s">
        <v>65</v>
      </c>
      <c r="I9" s="96">
        <f>I12*'Revenue Energy &amp; Other'!I9</f>
        <v>386.47228733506643</v>
      </c>
      <c r="J9" s="96">
        <f>J12*'Revenue Energy &amp; Other'!J9</f>
        <v>448.30785330867701</v>
      </c>
      <c r="K9" s="96">
        <f>K12*'Revenue Energy &amp; Other'!K9</f>
        <v>502.10479570571829</v>
      </c>
      <c r="L9" s="96">
        <f>L12*'Revenue Energy &amp; Other'!L9</f>
        <v>542.27317936217582</v>
      </c>
      <c r="M9" s="96">
        <f>M12*'Revenue Energy &amp; Other'!M9</f>
        <v>574.80957012390638</v>
      </c>
      <c r="N9" s="96">
        <f>N12*'Revenue Energy &amp; Other'!N9</f>
        <v>609.29814433134084</v>
      </c>
      <c r="O9" s="96">
        <f>O12*'Revenue Energy &amp; Other'!O9</f>
        <v>645.85603299122135</v>
      </c>
      <c r="P9" s="96">
        <f>P12*'Revenue Energy &amp; Other'!P9</f>
        <v>684.60739497069471</v>
      </c>
      <c r="Q9" s="96">
        <f>Q12*'Revenue Energy &amp; Other'!Q9</f>
        <v>725.68383866893646</v>
      </c>
      <c r="R9" s="96">
        <f>R12*'Revenue Energy &amp; Other'!R9</f>
        <v>769.22486898907266</v>
      </c>
      <c r="S9" s="96">
        <f>S12*'Revenue Energy &amp; Other'!S9</f>
        <v>815.37836112841705</v>
      </c>
    </row>
    <row r="10" spans="1:19" ht="3" customHeight="1" x14ac:dyDescent="0.25"/>
    <row r="11" spans="1:19" x14ac:dyDescent="0.25">
      <c r="B11" s="60" t="s">
        <v>75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</row>
    <row r="12" spans="1:19" x14ac:dyDescent="0.25">
      <c r="B12" s="61" t="s">
        <v>156</v>
      </c>
      <c r="C12" s="79">
        <f>C9/'Revenue Energy &amp; Other'!C9</f>
        <v>0.22180229627555309</v>
      </c>
      <c r="D12" s="79">
        <f>D9/'Revenue Energy &amp; Other'!D9</f>
        <v>0.1769052508191766</v>
      </c>
      <c r="E12" s="79">
        <f>E9/'Revenue Energy &amp; Other'!E9</f>
        <v>0.18119196235725238</v>
      </c>
      <c r="F12" s="79">
        <f>F9/'Revenue Energy &amp; Other'!F9</f>
        <v>6.5602462583549837E-3</v>
      </c>
      <c r="G12" s="79">
        <f>G9/'Revenue Energy &amp; Other'!G9</f>
        <v>-0.11760006191273947</v>
      </c>
      <c r="H12" s="61"/>
      <c r="I12" s="63">
        <f>CHOOSE(Drivers!$C$3,'GP Energy &amp; Other'!I15,'GP Energy &amp; Other'!I18,'GP Energy &amp; Other'!I22)</f>
        <v>0.14661493892758426</v>
      </c>
      <c r="J12" s="63">
        <f>CHOOSE(Drivers!$C$3,'GP Energy &amp; Other'!J15,'GP Energy &amp; Other'!J18,'GP Energy &amp; Other'!J22)</f>
        <v>0.14661493892758426</v>
      </c>
      <c r="K12" s="63">
        <f>CHOOSE(Drivers!$C$3,'GP Energy &amp; Other'!K15,'GP Energy &amp; Other'!K18,'GP Energy &amp; Other'!K22)</f>
        <v>0.14661493892758426</v>
      </c>
      <c r="L12" s="63">
        <f>CHOOSE(Drivers!$C$3,'GP Energy &amp; Other'!L15,'GP Energy &amp; Other'!L18,'GP Energy &amp; Other'!L22)</f>
        <v>0.14661493892758426</v>
      </c>
      <c r="M12" s="63">
        <f>CHOOSE(Drivers!$C$3,'GP Energy &amp; Other'!M15,'GP Energy &amp; Other'!M18,'GP Energy &amp; Other'!M22)</f>
        <v>0.14661493892758426</v>
      </c>
      <c r="N12" s="63">
        <f>CHOOSE(Drivers!$C$3,'GP Energy &amp; Other'!N15,'GP Energy &amp; Other'!N18,'GP Energy &amp; Other'!N22)</f>
        <v>0.14661493892758426</v>
      </c>
      <c r="O12" s="63">
        <f>CHOOSE(Drivers!$C$3,'GP Energy &amp; Other'!O15,'GP Energy &amp; Other'!O18,'GP Energy &amp; Other'!O22)</f>
        <v>0.14661493892758426</v>
      </c>
      <c r="P12" s="63">
        <f>CHOOSE(Drivers!$C$3,'GP Energy &amp; Other'!P15,'GP Energy &amp; Other'!P18,'GP Energy &amp; Other'!P22)</f>
        <v>0.14661493892758426</v>
      </c>
      <c r="Q12" s="63">
        <f>CHOOSE(Drivers!$C$3,'GP Energy &amp; Other'!Q15,'GP Energy &amp; Other'!Q18,'GP Energy &amp; Other'!Q22)</f>
        <v>0.14661493892758426</v>
      </c>
      <c r="R12" s="63">
        <f>CHOOSE(Drivers!$C$3,'GP Energy &amp; Other'!R15,'GP Energy &amp; Other'!R18,'GP Energy &amp; Other'!R22)</f>
        <v>0.14661493892758426</v>
      </c>
      <c r="S12" s="63">
        <f>CHOOSE(Drivers!$C$3,'GP Energy &amp; Other'!S15,'GP Energy &amp; Other'!S18,'GP Energy &amp; Other'!S22)</f>
        <v>0.14661493892758426</v>
      </c>
    </row>
    <row r="13" spans="1:19" x14ac:dyDescent="0.25">
      <c r="B13" s="61"/>
      <c r="C13" s="64"/>
      <c r="D13" s="64"/>
      <c r="E13" s="64"/>
      <c r="F13" s="64"/>
      <c r="G13" s="61"/>
      <c r="H13" s="61"/>
      <c r="I13" s="64"/>
      <c r="J13" s="64"/>
      <c r="K13" s="62"/>
      <c r="L13" s="62"/>
      <c r="M13" s="62"/>
      <c r="N13" s="62"/>
      <c r="O13" s="62"/>
      <c r="P13" s="62"/>
      <c r="Q13" s="62"/>
      <c r="R13" s="62"/>
      <c r="S13" s="62"/>
    </row>
    <row r="14" spans="1:19" x14ac:dyDescent="0.25">
      <c r="B14" s="77" t="s">
        <v>160</v>
      </c>
      <c r="C14" s="64"/>
      <c r="D14" s="64"/>
      <c r="E14" s="64"/>
      <c r="F14" s="64"/>
      <c r="G14" s="61"/>
      <c r="H14" s="61"/>
      <c r="I14" s="64"/>
      <c r="J14" s="64"/>
      <c r="K14" s="62"/>
      <c r="L14" s="62"/>
      <c r="M14" s="62"/>
      <c r="N14" s="62"/>
      <c r="O14" s="62"/>
      <c r="P14" s="62"/>
      <c r="Q14" s="62"/>
      <c r="R14" s="62"/>
      <c r="S14" s="62"/>
    </row>
    <row r="15" spans="1:19" x14ac:dyDescent="0.25">
      <c r="B15" s="60" t="s">
        <v>71</v>
      </c>
      <c r="C15" s="61"/>
      <c r="D15" s="61"/>
      <c r="E15" s="61"/>
      <c r="F15" s="61"/>
      <c r="G15" s="61"/>
      <c r="H15" s="61"/>
      <c r="I15" s="62">
        <f>I18+2%</f>
        <v>0.16661493892758425</v>
      </c>
      <c r="J15" s="62">
        <f t="shared" ref="J15:N15" si="1">J18+2%</f>
        <v>0.16661493892758425</v>
      </c>
      <c r="K15" s="62">
        <f t="shared" si="1"/>
        <v>0.16661493892758425</v>
      </c>
      <c r="L15" s="62">
        <f t="shared" si="1"/>
        <v>0.16661493892758425</v>
      </c>
      <c r="M15" s="62">
        <f t="shared" si="1"/>
        <v>0.16661493892758425</v>
      </c>
      <c r="N15" s="62">
        <f t="shared" si="1"/>
        <v>0.16661493892758425</v>
      </c>
      <c r="O15" s="62">
        <f t="shared" ref="O15:S15" si="2">O18+2%</f>
        <v>0.16661493892758425</v>
      </c>
      <c r="P15" s="62">
        <f t="shared" si="2"/>
        <v>0.16661493892758425</v>
      </c>
      <c r="Q15" s="62">
        <f t="shared" si="2"/>
        <v>0.16661493892758425</v>
      </c>
      <c r="R15" s="62">
        <f t="shared" si="2"/>
        <v>0.16661493892758425</v>
      </c>
      <c r="S15" s="62">
        <f t="shared" si="2"/>
        <v>0.16661493892758425</v>
      </c>
    </row>
    <row r="16" spans="1:19" x14ac:dyDescent="0.25">
      <c r="B16" s="61" t="s">
        <v>156</v>
      </c>
      <c r="C16" s="64"/>
      <c r="D16" s="48"/>
      <c r="E16" s="48"/>
      <c r="F16" s="48"/>
      <c r="G16" s="61"/>
      <c r="H16" s="61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</row>
    <row r="17" spans="2:19" x14ac:dyDescent="0.25">
      <c r="B17" s="61"/>
      <c r="C17" s="64"/>
      <c r="D17" s="64"/>
      <c r="E17" s="64"/>
      <c r="F17" s="64"/>
      <c r="G17" s="61"/>
      <c r="H17" s="61"/>
      <c r="I17" s="64"/>
      <c r="J17" s="64"/>
      <c r="K17" s="62"/>
      <c r="L17" s="62"/>
      <c r="M17" s="62"/>
      <c r="N17" s="62"/>
      <c r="O17" s="62"/>
      <c r="P17" s="62"/>
      <c r="Q17" s="62"/>
      <c r="R17" s="62"/>
      <c r="S17" s="62"/>
    </row>
    <row r="18" spans="2:19" x14ac:dyDescent="0.25">
      <c r="B18" s="60" t="s">
        <v>72</v>
      </c>
      <c r="C18" s="61"/>
      <c r="D18" s="61"/>
      <c r="E18" s="61"/>
      <c r="F18" s="61"/>
      <c r="G18" s="61"/>
      <c r="H18" s="61"/>
      <c r="I18" s="62">
        <f>AVERAGE($C$12:$F$12)</f>
        <v>0.14661493892758426</v>
      </c>
      <c r="J18" s="62">
        <f t="shared" ref="J18:S18" si="3">AVERAGE($C$12:$F$12)</f>
        <v>0.14661493892758426</v>
      </c>
      <c r="K18" s="62">
        <f t="shared" si="3"/>
        <v>0.14661493892758426</v>
      </c>
      <c r="L18" s="62">
        <f t="shared" si="3"/>
        <v>0.14661493892758426</v>
      </c>
      <c r="M18" s="62">
        <f t="shared" si="3"/>
        <v>0.14661493892758426</v>
      </c>
      <c r="N18" s="62">
        <f t="shared" si="3"/>
        <v>0.14661493892758426</v>
      </c>
      <c r="O18" s="62">
        <f t="shared" si="3"/>
        <v>0.14661493892758426</v>
      </c>
      <c r="P18" s="62">
        <f t="shared" si="3"/>
        <v>0.14661493892758426</v>
      </c>
      <c r="Q18" s="62">
        <f t="shared" si="3"/>
        <v>0.14661493892758426</v>
      </c>
      <c r="R18" s="62">
        <f t="shared" si="3"/>
        <v>0.14661493892758426</v>
      </c>
      <c r="S18" s="62">
        <f t="shared" si="3"/>
        <v>0.14661493892758426</v>
      </c>
    </row>
    <row r="19" spans="2:19" x14ac:dyDescent="0.25">
      <c r="B19" s="61" t="s">
        <v>156</v>
      </c>
      <c r="C19" s="64"/>
      <c r="D19" s="48"/>
      <c r="E19" s="48"/>
      <c r="F19" s="48"/>
      <c r="G19" s="61"/>
      <c r="H19" s="61"/>
      <c r="I19" s="48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2:19" x14ac:dyDescent="0.25">
      <c r="B20" s="61"/>
      <c r="C20" s="64"/>
      <c r="D20" s="64"/>
      <c r="E20" s="64"/>
      <c r="F20" s="64"/>
      <c r="G20" s="61"/>
      <c r="H20" s="61"/>
      <c r="I20" s="64"/>
      <c r="J20" s="64"/>
      <c r="K20" s="62"/>
      <c r="L20" s="62"/>
      <c r="M20" s="62"/>
      <c r="N20" s="62"/>
      <c r="O20" s="62"/>
      <c r="P20" s="62"/>
      <c r="Q20" s="62"/>
      <c r="R20" s="62"/>
      <c r="S20" s="62"/>
    </row>
    <row r="21" spans="2:19" x14ac:dyDescent="0.25">
      <c r="B21" s="60" t="s">
        <v>73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</row>
    <row r="22" spans="2:19" x14ac:dyDescent="0.25">
      <c r="B22" s="61" t="s">
        <v>156</v>
      </c>
      <c r="C22" s="64"/>
      <c r="D22" s="48"/>
      <c r="E22" s="48"/>
      <c r="F22" s="48"/>
      <c r="G22" s="61"/>
      <c r="H22" s="61"/>
      <c r="I22" s="62">
        <f>I18-2%</f>
        <v>0.12661493892758427</v>
      </c>
      <c r="J22" s="62">
        <f t="shared" ref="J22:N22" si="4">J18-2%</f>
        <v>0.12661493892758427</v>
      </c>
      <c r="K22" s="62">
        <f t="shared" si="4"/>
        <v>0.12661493892758427</v>
      </c>
      <c r="L22" s="62">
        <f t="shared" si="4"/>
        <v>0.12661493892758427</v>
      </c>
      <c r="M22" s="62">
        <f t="shared" si="4"/>
        <v>0.12661493892758427</v>
      </c>
      <c r="N22" s="62">
        <f t="shared" si="4"/>
        <v>0.12661493892758427</v>
      </c>
      <c r="O22" s="62">
        <f t="shared" ref="O22:S22" si="5">O18-2%</f>
        <v>0.12661493892758427</v>
      </c>
      <c r="P22" s="62">
        <f t="shared" si="5"/>
        <v>0.12661493892758427</v>
      </c>
      <c r="Q22" s="62">
        <f t="shared" si="5"/>
        <v>0.12661493892758427</v>
      </c>
      <c r="R22" s="62">
        <f t="shared" si="5"/>
        <v>0.12661493892758427</v>
      </c>
      <c r="S22" s="62">
        <f t="shared" si="5"/>
        <v>0.12661493892758427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2457F-93E7-4572-ADC8-20C6AC83BA95}">
  <dimension ref="A1:S9"/>
  <sheetViews>
    <sheetView workbookViewId="0">
      <selection activeCell="J9" sqref="J9"/>
    </sheetView>
  </sheetViews>
  <sheetFormatPr defaultColWidth="9.109375" defaultRowHeight="11.4" outlineLevelCol="1" x14ac:dyDescent="0.25"/>
  <cols>
    <col min="1" max="1" width="2" style="8" customWidth="1"/>
    <col min="2" max="2" width="28.6640625" style="8" customWidth="1"/>
    <col min="3" max="6" width="9.77734375" style="8" customWidth="1"/>
    <col min="7" max="8" width="9.77734375" style="8" customWidth="1" outlineLevel="1"/>
    <col min="9" max="19" width="9.77734375" style="8" customWidth="1"/>
    <col min="20" max="16384" width="9.109375" style="8"/>
  </cols>
  <sheetData>
    <row r="1" spans="1:19" ht="15.6" x14ac:dyDescent="0.25">
      <c r="A1" s="1"/>
      <c r="B1" s="2" t="s">
        <v>193</v>
      </c>
    </row>
    <row r="2" spans="1:19" ht="15.6" x14ac:dyDescent="0.25">
      <c r="A2" s="1"/>
      <c r="B2" s="2"/>
    </row>
    <row r="3" spans="1:19" ht="12" x14ac:dyDescent="0.25">
      <c r="C3" s="136" t="s">
        <v>232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4" spans="1:19" ht="24" x14ac:dyDescent="0.25">
      <c r="B4" s="5" t="s">
        <v>197</v>
      </c>
      <c r="C4" s="6" t="s">
        <v>45</v>
      </c>
      <c r="D4" s="6" t="s">
        <v>46</v>
      </c>
      <c r="E4" s="6" t="s">
        <v>47</v>
      </c>
      <c r="F4" s="6" t="s">
        <v>107</v>
      </c>
      <c r="G4" s="6" t="s">
        <v>115</v>
      </c>
      <c r="H4" s="67" t="s">
        <v>126</v>
      </c>
      <c r="I4" s="67" t="s">
        <v>125</v>
      </c>
      <c r="J4" s="67" t="s">
        <v>127</v>
      </c>
      <c r="K4" s="67" t="s">
        <v>128</v>
      </c>
      <c r="L4" s="67" t="s">
        <v>129</v>
      </c>
      <c r="M4" s="67" t="s">
        <v>130</v>
      </c>
      <c r="N4" s="67" t="s">
        <v>131</v>
      </c>
      <c r="O4" s="67" t="s">
        <v>204</v>
      </c>
      <c r="P4" s="67" t="s">
        <v>205</v>
      </c>
      <c r="Q4" s="67" t="s">
        <v>206</v>
      </c>
      <c r="R4" s="67" t="s">
        <v>207</v>
      </c>
      <c r="S4" s="67" t="s">
        <v>208</v>
      </c>
    </row>
    <row r="5" spans="1:19" x14ac:dyDescent="0.25">
      <c r="B5" s="8" t="s">
        <v>3</v>
      </c>
      <c r="C5" s="13">
        <f>-('Revenue Energy &amp; Other'!C5-'GP Energy &amp; Other'!C5)</f>
        <v>-4.0049999999999999</v>
      </c>
      <c r="D5" s="13">
        <f>-('Revenue Energy &amp; Other'!D5-'GP Energy &amp; Other'!D5)</f>
        <v>-12.287000000000001</v>
      </c>
      <c r="E5" s="13">
        <f>-('Revenue Energy &amp; Other'!E5-'GP Energy &amp; Other'!E5)</f>
        <v>-178.33199999999999</v>
      </c>
      <c r="F5" s="13">
        <f>-('Revenue Energy &amp; Other'!F5-'GP Energy &amp; Other'!F5)</f>
        <v>-874.53800000000001</v>
      </c>
      <c r="G5" s="42">
        <f>-('Revenue Energy &amp; Other'!G5-'GP Energy &amp; Other'!G5)</f>
        <v>-705.63599999999997</v>
      </c>
      <c r="H5" s="43" t="s">
        <v>65</v>
      </c>
      <c r="I5" s="43" t="s">
        <v>65</v>
      </c>
      <c r="J5" s="43" t="s">
        <v>65</v>
      </c>
      <c r="K5" s="43" t="s">
        <v>65</v>
      </c>
      <c r="L5" s="43" t="s">
        <v>65</v>
      </c>
      <c r="M5" s="43" t="s">
        <v>65</v>
      </c>
      <c r="N5" s="43" t="s">
        <v>65</v>
      </c>
      <c r="O5" s="43" t="s">
        <v>65</v>
      </c>
      <c r="P5" s="43" t="s">
        <v>65</v>
      </c>
      <c r="Q5" s="43" t="s">
        <v>65</v>
      </c>
      <c r="R5" s="43" t="s">
        <v>65</v>
      </c>
      <c r="S5" s="43" t="s">
        <v>65</v>
      </c>
    </row>
    <row r="6" spans="1:19" x14ac:dyDescent="0.25">
      <c r="B6" s="8" t="s">
        <v>2</v>
      </c>
      <c r="C6" s="13">
        <f>-('Revenue Energy &amp; Other'!C6-'GP Energy &amp; Other'!C6)</f>
        <v>-166.93099999999998</v>
      </c>
      <c r="D6" s="13">
        <f>-('Revenue Energy &amp; Other'!D6-'GP Energy &amp; Other'!D6)</f>
        <v>-286.93299999999999</v>
      </c>
      <c r="E6" s="13">
        <f>-('Revenue Energy &amp; Other'!E6-'GP Energy &amp; Other'!E6)</f>
        <v>-472.46199999999999</v>
      </c>
      <c r="F6" s="13">
        <f>-('Revenue Energy &amp; Other'!F6-'GP Energy &amp; Other'!F6)</f>
        <v>-1229.0219999999999</v>
      </c>
      <c r="G6" s="58">
        <f>-('Revenue Energy &amp; Other'!G6-'GP Energy &amp; Other'!G6)</f>
        <v>-767.34299999999996</v>
      </c>
      <c r="H6" s="43" t="s">
        <v>65</v>
      </c>
      <c r="I6" s="43" t="s">
        <v>65</v>
      </c>
      <c r="J6" s="43" t="s">
        <v>65</v>
      </c>
      <c r="K6" s="43" t="s">
        <v>65</v>
      </c>
      <c r="L6" s="43" t="s">
        <v>65</v>
      </c>
      <c r="M6" s="43" t="s">
        <v>65</v>
      </c>
      <c r="N6" s="43" t="s">
        <v>65</v>
      </c>
      <c r="O6" s="43" t="s">
        <v>65</v>
      </c>
      <c r="P6" s="43" t="s">
        <v>65</v>
      </c>
      <c r="Q6" s="43" t="s">
        <v>65</v>
      </c>
      <c r="R6" s="43" t="s">
        <v>65</v>
      </c>
      <c r="S6" s="43" t="s">
        <v>65</v>
      </c>
    </row>
    <row r="7" spans="1:19" ht="12" x14ac:dyDescent="0.25">
      <c r="B7" s="9" t="s">
        <v>156</v>
      </c>
      <c r="C7" s="75">
        <f>SUM(C5:C6)</f>
        <v>-170.93599999999998</v>
      </c>
      <c r="D7" s="75">
        <f t="shared" ref="D7:G7" si="0">SUM(D5:D6)</f>
        <v>-299.21999999999997</v>
      </c>
      <c r="E7" s="75">
        <f t="shared" si="0"/>
        <v>-650.79399999999998</v>
      </c>
      <c r="F7" s="75">
        <f t="shared" si="0"/>
        <v>-2103.56</v>
      </c>
      <c r="G7" s="75">
        <f t="shared" si="0"/>
        <v>-1472.9789999999998</v>
      </c>
      <c r="H7" s="45" t="s">
        <v>65</v>
      </c>
      <c r="I7" s="45" t="s">
        <v>65</v>
      </c>
      <c r="J7" s="45" t="s">
        <v>65</v>
      </c>
      <c r="K7" s="45" t="s">
        <v>65</v>
      </c>
      <c r="L7" s="45" t="s">
        <v>65</v>
      </c>
      <c r="M7" s="45" t="s">
        <v>65</v>
      </c>
      <c r="N7" s="45" t="s">
        <v>65</v>
      </c>
      <c r="O7" s="45" t="s">
        <v>65</v>
      </c>
      <c r="P7" s="45" t="s">
        <v>65</v>
      </c>
      <c r="Q7" s="45" t="s">
        <v>65</v>
      </c>
      <c r="R7" s="45" t="s">
        <v>65</v>
      </c>
      <c r="S7" s="45" t="s">
        <v>65</v>
      </c>
    </row>
    <row r="8" spans="1:19" x14ac:dyDescent="0.25">
      <c r="B8" s="8" t="s">
        <v>162</v>
      </c>
      <c r="C8" s="78">
        <f>-('Revenue Energy &amp; Other'!C8-'GP Energy &amp; Other'!C8)</f>
        <v>-176.43200000000002</v>
      </c>
      <c r="D8" s="58">
        <f>-('Revenue Energy &amp; Other'!D8-'GP Energy &amp; Other'!D8)</f>
        <v>-280.79100000000005</v>
      </c>
      <c r="E8" s="58">
        <f>-('Revenue Energy &amp; Other'!E8-'GP Energy &amp; Other'!E8)</f>
        <v>-478.92200000000003</v>
      </c>
      <c r="F8" s="58">
        <f>-('Revenue Energy &amp; Other'!F8-'GP Energy &amp; Other'!F8)</f>
        <v>0</v>
      </c>
      <c r="G8" s="58">
        <f>-('Revenue Energy &amp; Other'!G8-'GP Energy &amp; Other'!G8)</f>
        <v>0</v>
      </c>
      <c r="H8" s="43" t="s">
        <v>65</v>
      </c>
      <c r="I8" s="43" t="s">
        <v>65</v>
      </c>
      <c r="J8" s="43" t="s">
        <v>65</v>
      </c>
      <c r="K8" s="43" t="s">
        <v>65</v>
      </c>
      <c r="L8" s="43" t="s">
        <v>65</v>
      </c>
      <c r="M8" s="43" t="s">
        <v>65</v>
      </c>
      <c r="N8" s="43" t="s">
        <v>65</v>
      </c>
      <c r="O8" s="43" t="s">
        <v>65</v>
      </c>
      <c r="P8" s="43" t="s">
        <v>65</v>
      </c>
      <c r="Q8" s="43" t="s">
        <v>65</v>
      </c>
      <c r="R8" s="43" t="s">
        <v>65</v>
      </c>
      <c r="S8" s="43" t="s">
        <v>65</v>
      </c>
    </row>
    <row r="9" spans="1:19" ht="12.6" thickBot="1" x14ac:dyDescent="0.3">
      <c r="B9" s="85" t="s">
        <v>163</v>
      </c>
      <c r="C9" s="96">
        <f>SUM(C7:C8)</f>
        <v>-347.36799999999999</v>
      </c>
      <c r="D9" s="96">
        <f>SUM(D7:D8)</f>
        <v>-580.01099999999997</v>
      </c>
      <c r="E9" s="96">
        <f>SUM(E7:E8)</f>
        <v>-1129.7159999999999</v>
      </c>
      <c r="F9" s="96">
        <f>SUM(F7:F8)</f>
        <v>-2103.56</v>
      </c>
      <c r="G9" s="96">
        <f>SUM(G7:G8)</f>
        <v>-1472.9789999999998</v>
      </c>
      <c r="H9" s="128">
        <f>I9-G9</f>
        <v>-776.51671266493349</v>
      </c>
      <c r="I9" s="96">
        <f>-('Revenue Energy &amp; Other'!I9-'GP Energy &amp; Other'!I9)</f>
        <v>-2249.4957126649333</v>
      </c>
      <c r="J9" s="96">
        <f>-('Revenue Energy &amp; Other'!J9-'GP Energy &amp; Other'!J9)</f>
        <v>-2609.415026691323</v>
      </c>
      <c r="K9" s="96">
        <f>-('Revenue Energy &amp; Other'!K9-'GP Energy &amp; Other'!K9)</f>
        <v>-2922.544829894282</v>
      </c>
      <c r="L9" s="96">
        <f>-('Revenue Energy &amp; Other'!L9-'GP Energy &amp; Other'!L9)</f>
        <v>-3156.3484162858249</v>
      </c>
      <c r="M9" s="96">
        <f>-('Revenue Energy &amp; Other'!M9-'GP Energy &amp; Other'!M9)</f>
        <v>-3345.7293212629743</v>
      </c>
      <c r="N9" s="96">
        <f>-('Revenue Energy &amp; Other'!N9-'GP Energy &amp; Other'!N9)</f>
        <v>-3546.4730805387526</v>
      </c>
      <c r="O9" s="96">
        <f>-('Revenue Energy &amp; Other'!O9-'GP Energy &amp; Other'!O9)</f>
        <v>-3759.261465371078</v>
      </c>
      <c r="P9" s="96">
        <f>-('Revenue Energy &amp; Other'!P9-'GP Energy &amp; Other'!P9)</f>
        <v>-3984.8171532933434</v>
      </c>
      <c r="Q9" s="96">
        <f>-('Revenue Energy &amp; Other'!Q9-'GP Energy &amp; Other'!Q9)</f>
        <v>-4223.906182490944</v>
      </c>
      <c r="R9" s="96">
        <f>-('Revenue Energy &amp; Other'!R9-'GP Energy &amp; Other'!R9)</f>
        <v>-4477.340553440401</v>
      </c>
      <c r="S9" s="96">
        <f>-('Revenue Energy &amp; Other'!S9-'GP Energy &amp; Other'!S9)</f>
        <v>-4745.9809866468258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2CA0A-F2BA-4E02-A439-DBA4CEBBADDC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101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37C4-BBE9-4EBB-8B73-473820CAAA92}">
  <dimension ref="A1:F18"/>
  <sheetViews>
    <sheetView workbookViewId="0">
      <selection activeCell="C6" sqref="C6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4" width="11.6640625" style="8" customWidth="1"/>
    <col min="5" max="6" width="9.109375" style="8"/>
    <col min="7" max="7" width="2" style="8" customWidth="1"/>
    <col min="8" max="16384" width="9.109375" style="8"/>
  </cols>
  <sheetData>
    <row r="1" spans="1:6" ht="15.6" x14ac:dyDescent="0.25">
      <c r="A1" s="1"/>
      <c r="B1" s="2" t="s">
        <v>189</v>
      </c>
    </row>
    <row r="2" spans="1:6" ht="15.6" x14ac:dyDescent="0.25">
      <c r="A2" s="1"/>
      <c r="B2" s="2"/>
    </row>
    <row r="3" spans="1:6" ht="13.2" x14ac:dyDescent="0.25">
      <c r="A3" s="1"/>
      <c r="B3" s="71" t="s">
        <v>210</v>
      </c>
    </row>
    <row r="5" spans="1:6" x14ac:dyDescent="0.25">
      <c r="F5" s="8" t="s">
        <v>144</v>
      </c>
    </row>
    <row r="6" spans="1:6" ht="12" x14ac:dyDescent="0.25">
      <c r="B6" s="30" t="s">
        <v>243</v>
      </c>
      <c r="C6" s="31" t="s">
        <v>141</v>
      </c>
      <c r="D6" s="31" t="s">
        <v>177</v>
      </c>
    </row>
    <row r="7" spans="1:6" x14ac:dyDescent="0.25">
      <c r="B7" s="8" t="s">
        <v>166</v>
      </c>
      <c r="C7" s="80">
        <f>(9575+11128)/145588</f>
        <v>0.14220265406489546</v>
      </c>
      <c r="D7" s="82">
        <f t="shared" ref="D7:D11" si="0">C7</f>
        <v>0.14220265406489546</v>
      </c>
    </row>
    <row r="8" spans="1:6" x14ac:dyDescent="0.25">
      <c r="B8" s="8" t="s">
        <v>167</v>
      </c>
      <c r="C8" s="82">
        <f>(11842+6878)/144077</f>
        <v>0.12993052326186691</v>
      </c>
      <c r="D8" s="82">
        <f t="shared" si="0"/>
        <v>0.12993052326186691</v>
      </c>
    </row>
    <row r="9" spans="1:6" x14ac:dyDescent="0.25">
      <c r="B9" s="8" t="s">
        <v>168</v>
      </c>
      <c r="C9" s="82">
        <f>(3230+7385)/110934</f>
        <v>9.5687525916310592E-2</v>
      </c>
      <c r="D9" s="82">
        <f t="shared" si="0"/>
        <v>9.5687525916310592E-2</v>
      </c>
    </row>
    <row r="10" spans="1:6" x14ac:dyDescent="0.25">
      <c r="B10" s="8" t="s">
        <v>169</v>
      </c>
      <c r="C10" s="82">
        <f>(9560+1214-720)/98678</f>
        <v>0.10188694541843167</v>
      </c>
      <c r="D10" s="82">
        <f t="shared" si="0"/>
        <v>0.10188694541843167</v>
      </c>
    </row>
    <row r="11" spans="1:6" x14ac:dyDescent="0.25">
      <c r="B11" s="8" t="s">
        <v>170</v>
      </c>
      <c r="C11" s="82">
        <f>(12259+8254+22710-14500)/230682</f>
        <v>0.1245133993983059</v>
      </c>
      <c r="D11" s="82">
        <f t="shared" si="0"/>
        <v>0.1245133993983059</v>
      </c>
    </row>
    <row r="12" spans="1:6" x14ac:dyDescent="0.25">
      <c r="B12" s="98" t="s">
        <v>171</v>
      </c>
      <c r="C12" s="83">
        <f>(-379+5376+2490)/24339</f>
        <v>0.30761329553391675</v>
      </c>
      <c r="D12" s="83"/>
    </row>
    <row r="13" spans="1:6" x14ac:dyDescent="0.25">
      <c r="B13" s="8" t="s">
        <v>172</v>
      </c>
      <c r="C13" s="82">
        <f>(917-1366+1041+1883)/23491</f>
        <v>0.10535949938274233</v>
      </c>
      <c r="D13" s="82">
        <f>C13</f>
        <v>0.10535949938274233</v>
      </c>
    </row>
    <row r="14" spans="1:6" x14ac:dyDescent="0.25">
      <c r="B14" s="98" t="s">
        <v>173</v>
      </c>
      <c r="C14" s="83">
        <f>(329065+657119)/3416890</f>
        <v>0.28862035359639904</v>
      </c>
      <c r="D14" s="83"/>
    </row>
    <row r="15" spans="1:6" x14ac:dyDescent="0.25">
      <c r="B15" s="8" t="s">
        <v>174</v>
      </c>
      <c r="C15" s="82">
        <f>(6587+9934+1794)/119713</f>
        <v>0.15299090324359091</v>
      </c>
      <c r="D15" s="82">
        <f>C15</f>
        <v>0.15299090324359091</v>
      </c>
    </row>
    <row r="16" spans="1:6" x14ac:dyDescent="0.25">
      <c r="B16" s="8" t="s">
        <v>175</v>
      </c>
      <c r="C16" s="82">
        <f>(364+770+1626-655)/14342</f>
        <v>0.14677171942546369</v>
      </c>
      <c r="D16" s="82">
        <f>C16</f>
        <v>0.14677171942546369</v>
      </c>
    </row>
    <row r="17" spans="2:4" x14ac:dyDescent="0.25">
      <c r="B17" s="98" t="s">
        <v>176</v>
      </c>
      <c r="C17" s="83">
        <f>(264.7+449.5)/18187.5</f>
        <v>3.9268728522336774E-2</v>
      </c>
      <c r="D17" s="83"/>
    </row>
    <row r="18" spans="2:4" ht="12" x14ac:dyDescent="0.25">
      <c r="B18" s="9" t="s">
        <v>141</v>
      </c>
      <c r="C18" s="84">
        <f>AVERAGE(C7:C17)</f>
        <v>0.14862232252402363</v>
      </c>
      <c r="D18" s="84">
        <f>AVERAGE(D7:D17)</f>
        <v>0.12491789626395092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20"/>
  <sheetViews>
    <sheetView workbookViewId="0">
      <selection activeCell="H14" sqref="H14"/>
    </sheetView>
  </sheetViews>
  <sheetFormatPr defaultColWidth="9.109375" defaultRowHeight="11.4" outlineLevelCol="1" x14ac:dyDescent="0.25"/>
  <cols>
    <col min="1" max="1" width="2" style="8" customWidth="1"/>
    <col min="2" max="2" width="25.6640625" style="8" bestFit="1" customWidth="1"/>
    <col min="3" max="6" width="9.77734375" style="8" customWidth="1"/>
    <col min="7" max="8" width="9.77734375" style="8" customWidth="1" outlineLevel="1"/>
    <col min="9" max="14" width="9.77734375" style="8" customWidth="1"/>
    <col min="15" max="15" width="10.44140625" style="8" bestFit="1" customWidth="1"/>
    <col min="16" max="16384" width="9.109375" style="8"/>
  </cols>
  <sheetData>
    <row r="1" spans="1:19" ht="15.6" x14ac:dyDescent="0.25">
      <c r="A1" s="1"/>
      <c r="B1" s="2" t="s">
        <v>78</v>
      </c>
    </row>
    <row r="3" spans="1:19" ht="12" x14ac:dyDescent="0.25">
      <c r="C3" s="136" t="s">
        <v>179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4" spans="1:19" ht="24" x14ac:dyDescent="0.25">
      <c r="B4" s="5" t="s">
        <v>197</v>
      </c>
      <c r="C4" s="6" t="s">
        <v>45</v>
      </c>
      <c r="D4" s="6" t="s">
        <v>46</v>
      </c>
      <c r="E4" s="6" t="s">
        <v>47</v>
      </c>
      <c r="F4" s="6" t="s">
        <v>107</v>
      </c>
      <c r="G4" s="6" t="s">
        <v>115</v>
      </c>
      <c r="H4" s="67" t="s">
        <v>126</v>
      </c>
      <c r="I4" s="67" t="s">
        <v>125</v>
      </c>
      <c r="J4" s="67" t="s">
        <v>127</v>
      </c>
      <c r="K4" s="67" t="s">
        <v>128</v>
      </c>
      <c r="L4" s="67" t="s">
        <v>129</v>
      </c>
      <c r="M4" s="67" t="s">
        <v>130</v>
      </c>
      <c r="N4" s="67" t="s">
        <v>131</v>
      </c>
      <c r="O4" s="67" t="s">
        <v>204</v>
      </c>
      <c r="P4" s="67" t="s">
        <v>205</v>
      </c>
      <c r="Q4" s="67" t="s">
        <v>206</v>
      </c>
      <c r="R4" s="67" t="s">
        <v>207</v>
      </c>
      <c r="S4" s="67" t="s">
        <v>208</v>
      </c>
    </row>
    <row r="5" spans="1:19" x14ac:dyDescent="0.25">
      <c r="B5" s="7" t="s">
        <v>100</v>
      </c>
      <c r="C5" s="13">
        <f>'Revenue Energy &amp; Other'!C9+'Revenue automotive'!C11</f>
        <v>3453.3870000000002</v>
      </c>
      <c r="D5" s="13">
        <f>'Revenue Energy &amp; Other'!D9+'Revenue automotive'!D11</f>
        <v>4445.6440000000002</v>
      </c>
      <c r="E5" s="13">
        <f>'Revenue Energy &amp; Other'!E9+'Revenue automotive'!E11</f>
        <v>7730.4740000000002</v>
      </c>
      <c r="F5" s="13">
        <f>'Revenue Energy &amp; Other'!F9+'Revenue automotive'!F11</f>
        <v>11758.751</v>
      </c>
      <c r="G5" s="42">
        <f>'Revenue Energy &amp; Other'!G9+'Revenue automotive'!G11</f>
        <v>7410.982</v>
      </c>
      <c r="H5" s="43">
        <f>'Revenue Energy &amp; Other'!H9+'Revenue automotive'!H11</f>
        <v>10577.234</v>
      </c>
      <c r="I5" s="43">
        <f>G5+H5</f>
        <v>17988.216</v>
      </c>
      <c r="J5" s="43">
        <f>'Revenue Energy &amp; Other'!J9+'Revenue automotive'!J11</f>
        <v>23056.672880000002</v>
      </c>
      <c r="K5" s="43">
        <f>'Revenue Energy &amp; Other'!K9+'Revenue automotive'!K11</f>
        <v>41514.780577980957</v>
      </c>
      <c r="L5" s="43">
        <f>'Revenue Energy &amp; Other'!L9+'Revenue automotive'!L11</f>
        <v>55124.434679548234</v>
      </c>
      <c r="M5" s="43">
        <f>'Revenue Energy &amp; Other'!M9+'Revenue automotive'!M11</f>
        <v>71183.609225627253</v>
      </c>
      <c r="N5" s="43">
        <f>'Revenue Energy &amp; Other'!N9+'Revenue automotive'!N11</f>
        <v>76330.390080534518</v>
      </c>
      <c r="O5" s="43">
        <f>'Revenue Energy &amp; Other'!O9+'Revenue automotive'!O11</f>
        <v>81914.432877353174</v>
      </c>
      <c r="P5" s="43">
        <f>'Revenue Energy &amp; Other'!P9+'Revenue automotive'!P11</f>
        <v>85059.345517147638</v>
      </c>
      <c r="Q5" s="43">
        <f>'Revenue Energy &amp; Other'!Q9+'Revenue automotive'!Q11</f>
        <v>88344.249655849737</v>
      </c>
      <c r="R5" s="43">
        <f>'Revenue Energy &amp; Other'!R9+'Revenue automotive'!R11</f>
        <v>90309.118249813109</v>
      </c>
      <c r="S5" s="43">
        <f>'Revenue Energy &amp; Other'!S9+'Revenue automotive'!S11</f>
        <v>92325.163231706567</v>
      </c>
    </row>
    <row r="6" spans="1:19" x14ac:dyDescent="0.25">
      <c r="B6" s="8" t="s">
        <v>79</v>
      </c>
      <c r="C6" s="16">
        <f>C7/C5</f>
        <v>-0.30936584865814337</v>
      </c>
      <c r="D6" s="16">
        <f t="shared" ref="D6:G6" si="0">D7/D5</f>
        <v>-0.36893012575905765</v>
      </c>
      <c r="E6" s="16">
        <f t="shared" si="0"/>
        <v>-0.2932028488809354</v>
      </c>
      <c r="F6" s="16">
        <f t="shared" si="0"/>
        <v>-0.32780462822964784</v>
      </c>
      <c r="G6" s="16">
        <f t="shared" si="0"/>
        <v>-0.30951660657116697</v>
      </c>
      <c r="H6" s="81">
        <f>H10</f>
        <v>-0.26482586288194604</v>
      </c>
      <c r="I6" s="43"/>
      <c r="J6" s="81">
        <f>J10</f>
        <v>-0.12491789626395092</v>
      </c>
      <c r="K6" s="81">
        <f t="shared" ref="K6:S6" si="1">K10</f>
        <v>-0.12491789626395092</v>
      </c>
      <c r="L6" s="81">
        <f t="shared" si="1"/>
        <v>-0.12491789626395092</v>
      </c>
      <c r="M6" s="81">
        <f t="shared" si="1"/>
        <v>-0.12491789626395092</v>
      </c>
      <c r="N6" s="81">
        <f t="shared" si="1"/>
        <v>-0.12491789626395092</v>
      </c>
      <c r="O6" s="81">
        <f t="shared" si="1"/>
        <v>-0.12491789626395092</v>
      </c>
      <c r="P6" s="81">
        <f t="shared" si="1"/>
        <v>-0.12491789626395092</v>
      </c>
      <c r="Q6" s="81">
        <f t="shared" si="1"/>
        <v>-0.12491789626395092</v>
      </c>
      <c r="R6" s="81">
        <f t="shared" si="1"/>
        <v>-0.12491789626395092</v>
      </c>
      <c r="S6" s="81">
        <f t="shared" si="1"/>
        <v>-0.12491789626395092</v>
      </c>
    </row>
    <row r="7" spans="1:19" ht="12" x14ac:dyDescent="0.25">
      <c r="B7" s="75" t="s">
        <v>78</v>
      </c>
      <c r="C7" s="75">
        <f>('P&amp;L Input'!C12+'P&amp;L Input'!C13+'P&amp;L Input'!C14)/1000</f>
        <v>-1068.3599999999999</v>
      </c>
      <c r="D7" s="75">
        <f>('P&amp;L Input'!D12+'P&amp;L Input'!D13+'P&amp;L Input'!D14)/1000</f>
        <v>-1640.1320000000001</v>
      </c>
      <c r="E7" s="75">
        <f>('P&amp;L Input'!E12+'P&amp;L Input'!E13+'P&amp;L Input'!E14)/1000</f>
        <v>-2266.5970000000002</v>
      </c>
      <c r="F7" s="75">
        <f>('P&amp;L Input'!F12+'P&amp;L Input'!F13+'P&amp;L Input'!F14)/1000</f>
        <v>-3854.5729999999999</v>
      </c>
      <c r="G7" s="75">
        <f>('P&amp;L Input'!G12+'P&amp;L Input'!G13+'P&amp;L Input'!G14)/1000</f>
        <v>-2293.8220000000001</v>
      </c>
      <c r="H7" s="45">
        <f>H5*H6</f>
        <v>-2801.1251209542579</v>
      </c>
      <c r="I7" s="45">
        <f>G7+H7</f>
        <v>-5094.947120954258</v>
      </c>
      <c r="J7" s="45">
        <f>J5*J6</f>
        <v>-2880.1910710156908</v>
      </c>
      <c r="K7" s="45">
        <f t="shared" ref="K7:S7" si="2">K5*K6</f>
        <v>-5185.9390536609098</v>
      </c>
      <c r="L7" s="45">
        <f t="shared" si="2"/>
        <v>-6886.0284129087449</v>
      </c>
      <c r="M7" s="45">
        <f t="shared" si="2"/>
        <v>-8892.1067129405255</v>
      </c>
      <c r="N7" s="45">
        <f t="shared" si="2"/>
        <v>-9535.0317498671193</v>
      </c>
      <c r="O7" s="45">
        <f t="shared" si="2"/>
        <v>-10232.578628693575</v>
      </c>
      <c r="P7" s="45">
        <f t="shared" si="2"/>
        <v>-10625.434499590607</v>
      </c>
      <c r="Q7" s="45">
        <f t="shared" si="2"/>
        <v>-11035.77781402602</v>
      </c>
      <c r="R7" s="45">
        <f t="shared" si="2"/>
        <v>-11281.225065219031</v>
      </c>
      <c r="S7" s="45">
        <f t="shared" si="2"/>
        <v>-11533.065163130655</v>
      </c>
    </row>
    <row r="8" spans="1:19" x14ac:dyDescent="0.25"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spans="1:19" x14ac:dyDescent="0.25">
      <c r="B9" s="60" t="s">
        <v>75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</row>
    <row r="10" spans="1:19" x14ac:dyDescent="0.25">
      <c r="B10" s="61" t="s">
        <v>178</v>
      </c>
      <c r="C10" s="79"/>
      <c r="D10" s="79"/>
      <c r="E10" s="79"/>
      <c r="F10" s="79"/>
      <c r="G10" s="61"/>
      <c r="H10" s="63">
        <f>CHOOSE(Drivers!$C$3,Opex!H14,Opex!H17,Opex!H20)</f>
        <v>-0.26482586288194604</v>
      </c>
      <c r="I10" s="63"/>
      <c r="J10" s="63">
        <f>CHOOSE(Drivers!$C$3,Opex!J14,Opex!J17,Opex!J20)</f>
        <v>-0.12491789626395092</v>
      </c>
      <c r="K10" s="63">
        <f>CHOOSE(Drivers!$C$3,Opex!K14,Opex!K17,Opex!K20)</f>
        <v>-0.12491789626395092</v>
      </c>
      <c r="L10" s="63">
        <f>CHOOSE(Drivers!$C$3,Opex!L14,Opex!L17,Opex!L20)</f>
        <v>-0.12491789626395092</v>
      </c>
      <c r="M10" s="63">
        <f>CHOOSE(Drivers!$C$3,Opex!M14,Opex!M17,Opex!M20)</f>
        <v>-0.12491789626395092</v>
      </c>
      <c r="N10" s="63">
        <f>CHOOSE(Drivers!$C$3,Opex!N14,Opex!N17,Opex!N20)</f>
        <v>-0.12491789626395092</v>
      </c>
      <c r="O10" s="63">
        <f>CHOOSE(Drivers!$C$3,Opex!O14,Opex!O17,Opex!O20)</f>
        <v>-0.12491789626395092</v>
      </c>
      <c r="P10" s="63">
        <f>CHOOSE(Drivers!$C$3,Opex!P14,Opex!P17,Opex!P20)</f>
        <v>-0.12491789626395092</v>
      </c>
      <c r="Q10" s="63">
        <f>CHOOSE(Drivers!$C$3,Opex!Q14,Opex!Q17,Opex!Q20)</f>
        <v>-0.12491789626395092</v>
      </c>
      <c r="R10" s="63">
        <f>CHOOSE(Drivers!$C$3,Opex!R14,Opex!R17,Opex!R20)</f>
        <v>-0.12491789626395092</v>
      </c>
      <c r="S10" s="63">
        <f>CHOOSE(Drivers!$C$3,Opex!S14,Opex!S17,Opex!S20)</f>
        <v>-0.12491789626395092</v>
      </c>
    </row>
    <row r="11" spans="1:19" x14ac:dyDescent="0.25">
      <c r="B11" s="61"/>
      <c r="C11" s="64"/>
      <c r="D11" s="64"/>
      <c r="E11" s="64"/>
      <c r="F11" s="64"/>
      <c r="G11" s="61"/>
      <c r="H11" s="61"/>
      <c r="I11" s="64"/>
      <c r="J11" s="64"/>
      <c r="K11" s="62"/>
      <c r="L11" s="62"/>
      <c r="M11" s="62"/>
      <c r="N11" s="62"/>
      <c r="O11" s="62"/>
      <c r="P11" s="62"/>
      <c r="Q11" s="62"/>
      <c r="R11" s="62"/>
      <c r="S11" s="62"/>
    </row>
    <row r="12" spans="1:19" x14ac:dyDescent="0.25">
      <c r="B12" s="77" t="s">
        <v>165</v>
      </c>
      <c r="C12" s="64"/>
      <c r="D12" s="64"/>
      <c r="E12" s="64"/>
      <c r="F12" s="64"/>
      <c r="G12" s="61"/>
      <c r="H12" s="61"/>
      <c r="I12" s="64"/>
      <c r="J12" s="64"/>
      <c r="K12" s="62"/>
      <c r="L12" s="62"/>
      <c r="M12" s="62"/>
      <c r="N12" s="62"/>
      <c r="O12" s="62"/>
      <c r="P12" s="62"/>
      <c r="Q12" s="62"/>
      <c r="R12" s="62"/>
      <c r="S12" s="62"/>
    </row>
    <row r="13" spans="1:19" x14ac:dyDescent="0.25">
      <c r="B13" s="60" t="s">
        <v>71</v>
      </c>
      <c r="C13" s="61"/>
      <c r="D13" s="61"/>
      <c r="E13" s="61"/>
      <c r="F13" s="61"/>
      <c r="G13" s="61"/>
      <c r="H13" s="61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</row>
    <row r="14" spans="1:19" x14ac:dyDescent="0.25">
      <c r="B14" s="61" t="s">
        <v>178</v>
      </c>
      <c r="C14" s="64"/>
      <c r="D14" s="48"/>
      <c r="E14" s="48"/>
      <c r="F14" s="48"/>
      <c r="G14" s="61"/>
      <c r="H14" s="63">
        <f>H17+3%</f>
        <v>-0.23482586288194604</v>
      </c>
      <c r="I14" s="48"/>
      <c r="J14" s="63">
        <f>J17+2%</f>
        <v>-0.10491789626395091</v>
      </c>
      <c r="K14" s="63">
        <f t="shared" ref="K14:S14" si="3">K17+2%</f>
        <v>-0.10491789626395091</v>
      </c>
      <c r="L14" s="63">
        <f t="shared" si="3"/>
        <v>-0.10491789626395091</v>
      </c>
      <c r="M14" s="63">
        <f t="shared" si="3"/>
        <v>-0.10491789626395091</v>
      </c>
      <c r="N14" s="63">
        <f t="shared" si="3"/>
        <v>-0.10491789626395091</v>
      </c>
      <c r="O14" s="63">
        <f t="shared" si="3"/>
        <v>-0.10491789626395091</v>
      </c>
      <c r="P14" s="63">
        <f t="shared" si="3"/>
        <v>-0.10491789626395091</v>
      </c>
      <c r="Q14" s="63">
        <f t="shared" si="3"/>
        <v>-0.10491789626395091</v>
      </c>
      <c r="R14" s="63">
        <f t="shared" si="3"/>
        <v>-0.10491789626395091</v>
      </c>
      <c r="S14" s="63">
        <f t="shared" si="3"/>
        <v>-0.10491789626395091</v>
      </c>
    </row>
    <row r="15" spans="1:19" x14ac:dyDescent="0.25">
      <c r="B15" s="61"/>
      <c r="C15" s="64"/>
      <c r="D15" s="64"/>
      <c r="E15" s="64"/>
      <c r="F15" s="64"/>
      <c r="G15" s="61"/>
      <c r="H15" s="61"/>
      <c r="I15" s="64"/>
      <c r="J15" s="64"/>
      <c r="K15" s="62"/>
      <c r="L15" s="62"/>
      <c r="M15" s="62"/>
      <c r="N15" s="62"/>
      <c r="O15" s="62"/>
      <c r="P15" s="62"/>
      <c r="Q15" s="62"/>
      <c r="R15" s="62"/>
      <c r="S15" s="62"/>
    </row>
    <row r="16" spans="1:19" x14ac:dyDescent="0.25">
      <c r="B16" s="60" t="s">
        <v>72</v>
      </c>
      <c r="C16" s="61"/>
      <c r="D16" s="61"/>
      <c r="E16" s="61"/>
      <c r="F16" s="61"/>
      <c r="G16" s="61"/>
      <c r="H16" s="61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</row>
    <row r="17" spans="2:19" x14ac:dyDescent="0.25">
      <c r="B17" s="61" t="s">
        <v>178</v>
      </c>
      <c r="C17" s="64"/>
      <c r="D17" s="48"/>
      <c r="E17" s="48"/>
      <c r="F17" s="48"/>
      <c r="G17" s="61"/>
      <c r="H17" s="63">
        <f>AVERAGE($C$6:$F$6)+6%</f>
        <v>-0.26482586288194604</v>
      </c>
      <c r="I17" s="48"/>
      <c r="J17" s="63">
        <f>-'Opex comparables'!$D$18</f>
        <v>-0.12491789626395092</v>
      </c>
      <c r="K17" s="63">
        <f>-'Opex comparables'!$D$18</f>
        <v>-0.12491789626395092</v>
      </c>
      <c r="L17" s="63">
        <f>-'Opex comparables'!$D$18</f>
        <v>-0.12491789626395092</v>
      </c>
      <c r="M17" s="63">
        <f>-'Opex comparables'!$D$18</f>
        <v>-0.12491789626395092</v>
      </c>
      <c r="N17" s="63">
        <f>-'Opex comparables'!$D$18</f>
        <v>-0.12491789626395092</v>
      </c>
      <c r="O17" s="63">
        <f>-'Opex comparables'!$D$18</f>
        <v>-0.12491789626395092</v>
      </c>
      <c r="P17" s="63">
        <f>-'Opex comparables'!$D$18</f>
        <v>-0.12491789626395092</v>
      </c>
      <c r="Q17" s="63">
        <f>-'Opex comparables'!$D$18</f>
        <v>-0.12491789626395092</v>
      </c>
      <c r="R17" s="63">
        <f>-'Opex comparables'!$D$18</f>
        <v>-0.12491789626395092</v>
      </c>
      <c r="S17" s="63">
        <f>-'Opex comparables'!$D$18</f>
        <v>-0.12491789626395092</v>
      </c>
    </row>
    <row r="18" spans="2:19" x14ac:dyDescent="0.25">
      <c r="B18" s="61"/>
      <c r="C18" s="64"/>
      <c r="D18" s="64"/>
      <c r="E18" s="64"/>
      <c r="F18" s="64"/>
      <c r="G18" s="61"/>
      <c r="H18" s="61"/>
      <c r="I18" s="64"/>
      <c r="J18" s="64"/>
      <c r="K18" s="62"/>
      <c r="L18" s="62"/>
      <c r="M18" s="62"/>
      <c r="N18" s="62"/>
      <c r="O18" s="62"/>
      <c r="P18" s="62"/>
      <c r="Q18" s="62"/>
      <c r="R18" s="62"/>
      <c r="S18" s="62"/>
    </row>
    <row r="19" spans="2:19" x14ac:dyDescent="0.25">
      <c r="B19" s="60" t="s">
        <v>73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</row>
    <row r="20" spans="2:19" x14ac:dyDescent="0.25">
      <c r="B20" s="61" t="s">
        <v>178</v>
      </c>
      <c r="C20" s="64"/>
      <c r="D20" s="48"/>
      <c r="E20" s="48"/>
      <c r="F20" s="48"/>
      <c r="G20" s="61"/>
      <c r="H20" s="63">
        <f>H17-3%</f>
        <v>-0.29482586288194601</v>
      </c>
      <c r="I20" s="62"/>
      <c r="J20" s="63">
        <f>J17-2%</f>
        <v>-0.14491789626395091</v>
      </c>
      <c r="K20" s="63">
        <f t="shared" ref="K20:S20" si="4">K17-2%</f>
        <v>-0.14491789626395091</v>
      </c>
      <c r="L20" s="63">
        <f t="shared" si="4"/>
        <v>-0.14491789626395091</v>
      </c>
      <c r="M20" s="63">
        <f t="shared" si="4"/>
        <v>-0.14491789626395091</v>
      </c>
      <c r="N20" s="63">
        <f t="shared" si="4"/>
        <v>-0.14491789626395091</v>
      </c>
      <c r="O20" s="63">
        <f t="shared" si="4"/>
        <v>-0.14491789626395091</v>
      </c>
      <c r="P20" s="63">
        <f t="shared" si="4"/>
        <v>-0.14491789626395091</v>
      </c>
      <c r="Q20" s="63">
        <f t="shared" si="4"/>
        <v>-0.14491789626395091</v>
      </c>
      <c r="R20" s="63">
        <f t="shared" si="4"/>
        <v>-0.14491789626395091</v>
      </c>
      <c r="S20" s="63">
        <f t="shared" si="4"/>
        <v>-0.14491789626395091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965FF-8701-4B5E-8FA4-1305F3C0030C}">
  <sheetPr>
    <tabColor rgb="FFC0000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198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48B71-3D5F-4A96-B31A-D368DB818E80}">
  <sheetPr>
    <tabColor theme="5"/>
  </sheetPr>
  <dimension ref="B14"/>
  <sheetViews>
    <sheetView topLeftCell="A4"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188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34"/>
  <sheetViews>
    <sheetView topLeftCell="G1" workbookViewId="0">
      <selection activeCell="Q8" sqref="Q8"/>
    </sheetView>
  </sheetViews>
  <sheetFormatPr defaultColWidth="9.109375" defaultRowHeight="13.2" x14ac:dyDescent="0.25"/>
  <cols>
    <col min="1" max="1" width="2" style="18" customWidth="1"/>
    <col min="2" max="2" width="26.88671875" style="18" customWidth="1"/>
    <col min="3" max="3" width="12.88671875" style="18" bestFit="1" customWidth="1"/>
    <col min="4" max="4" width="10.5546875" style="18" customWidth="1"/>
    <col min="5" max="5" width="10.109375" style="18" customWidth="1"/>
    <col min="6" max="6" width="10" style="18" customWidth="1"/>
    <col min="7" max="14" width="10.33203125" style="18" customWidth="1"/>
    <col min="15" max="16384" width="9.109375" style="18"/>
  </cols>
  <sheetData>
    <row r="1" spans="1:19" ht="15.6" x14ac:dyDescent="0.3">
      <c r="B1" s="17" t="s">
        <v>106</v>
      </c>
    </row>
    <row r="3" spans="1:19" x14ac:dyDescent="0.25">
      <c r="B3" s="90" t="str">
        <f>"Selected case:"&amp;CHOOSE(C3," as a % of PPE"," as a % of revenue")</f>
        <v>Selected case: as a % of PPE</v>
      </c>
      <c r="C3" s="89">
        <v>1</v>
      </c>
    </row>
    <row r="4" spans="1:19" ht="5.4" customHeight="1" x14ac:dyDescent="0.25">
      <c r="B4" s="90"/>
      <c r="C4" s="91"/>
    </row>
    <row r="5" spans="1:19" x14ac:dyDescent="0.25">
      <c r="C5" s="136" t="s">
        <v>180</v>
      </c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</row>
    <row r="6" spans="1:19" ht="26.4" customHeight="1" x14ac:dyDescent="0.25">
      <c r="A6" s="18" t="s">
        <v>76</v>
      </c>
      <c r="B6" s="5" t="s">
        <v>197</v>
      </c>
      <c r="C6" s="6" t="s">
        <v>181</v>
      </c>
      <c r="D6" s="6" t="s">
        <v>182</v>
      </c>
      <c r="E6" s="6" t="s">
        <v>183</v>
      </c>
      <c r="F6" s="6" t="s">
        <v>186</v>
      </c>
      <c r="G6" s="6" t="s">
        <v>184</v>
      </c>
      <c r="H6" s="67" t="s">
        <v>126</v>
      </c>
      <c r="I6" s="67" t="s">
        <v>216</v>
      </c>
      <c r="J6" s="67" t="s">
        <v>217</v>
      </c>
      <c r="K6" s="67" t="s">
        <v>218</v>
      </c>
      <c r="L6" s="67" t="s">
        <v>219</v>
      </c>
      <c r="M6" s="67" t="s">
        <v>220</v>
      </c>
      <c r="N6" s="67" t="s">
        <v>221</v>
      </c>
      <c r="O6" s="67" t="s">
        <v>222</v>
      </c>
      <c r="P6" s="67" t="s">
        <v>223</v>
      </c>
      <c r="Q6" s="67" t="s">
        <v>224</v>
      </c>
      <c r="R6" s="67" t="s">
        <v>225</v>
      </c>
      <c r="S6" s="67" t="s">
        <v>226</v>
      </c>
    </row>
    <row r="7" spans="1:19" x14ac:dyDescent="0.25">
      <c r="B7" s="19" t="s">
        <v>81</v>
      </c>
      <c r="C7" s="92">
        <f>738494/1000</f>
        <v>738.49400000000003</v>
      </c>
      <c r="D7" s="93">
        <f>C10</f>
        <v>1829.2670000000001</v>
      </c>
      <c r="E7" s="93">
        <f>D10</f>
        <v>3403.3339999999998</v>
      </c>
      <c r="F7" s="93">
        <f>E10</f>
        <v>5982.9570000000003</v>
      </c>
      <c r="G7" s="121">
        <f>F10</f>
        <v>10027.522000000001</v>
      </c>
      <c r="H7" s="94">
        <f>G10</f>
        <v>10969.348</v>
      </c>
      <c r="I7" s="94">
        <f>F10</f>
        <v>10027.522000000001</v>
      </c>
      <c r="J7" s="94">
        <f>I10</f>
        <v>14637.79562666667</v>
      </c>
      <c r="K7" s="94">
        <f t="shared" ref="K7:O7" si="0">J10</f>
        <v>19126.71961884445</v>
      </c>
      <c r="L7" s="94">
        <f t="shared" si="0"/>
        <v>23116.006853632007</v>
      </c>
      <c r="M7" s="94">
        <f t="shared" si="0"/>
        <v>25682.266148777537</v>
      </c>
      <c r="N7" s="94">
        <f t="shared" si="0"/>
        <v>28419.347087635142</v>
      </c>
      <c r="O7" s="94">
        <f t="shared" si="0"/>
        <v>31324.919586429129</v>
      </c>
      <c r="P7" s="94">
        <f t="shared" ref="P7" si="1">O10</f>
        <v>34393.940990496194</v>
      </c>
      <c r="Q7" s="94">
        <f t="shared" ref="Q7" si="2">P10</f>
        <v>37618.180795503387</v>
      </c>
      <c r="R7" s="94">
        <f t="shared" ref="R7" si="3">Q10</f>
        <v>40985.69281757198</v>
      </c>
      <c r="S7" s="94">
        <f t="shared" ref="S7" si="4">R10</f>
        <v>44480.231339819991</v>
      </c>
    </row>
    <row r="8" spans="1:19" x14ac:dyDescent="0.25">
      <c r="B8" s="19" t="s">
        <v>82</v>
      </c>
      <c r="C8" s="93">
        <f>C10-C7-C9</f>
        <v>1322.7040000000002</v>
      </c>
      <c r="D8" s="93">
        <f>D10-D7-D9</f>
        <v>1996.6569999999997</v>
      </c>
      <c r="E8" s="93">
        <f>E10-E7-E9</f>
        <v>3526.7220000000007</v>
      </c>
      <c r="F8" s="93">
        <f>F10-F7-F9</f>
        <v>5210.9620000000004</v>
      </c>
      <c r="G8" s="121">
        <f>G10-G7-G9</f>
        <v>1843.3139999999992</v>
      </c>
      <c r="H8" s="94">
        <f>I8-G8</f>
        <v>4173.1992000000009</v>
      </c>
      <c r="I8" s="94">
        <f>CHOOSE($C$3,I30*I7,I31*'P&amp;L'!I5)</f>
        <v>6016.5132000000003</v>
      </c>
      <c r="J8" s="94">
        <f>CHOOSE($C$3,J30*J7,J31*'P&amp;L'!J5)</f>
        <v>5855.1182506666682</v>
      </c>
      <c r="K8" s="94">
        <f>CHOOSE($C$3,K30*K7,K31*'P&amp;L'!K5)</f>
        <v>5738.0158856533353</v>
      </c>
      <c r="L8" s="94">
        <f>CHOOSE($C$3,L30*L7,L31*'P&amp;L'!L5)</f>
        <v>4623.2013707264014</v>
      </c>
      <c r="M8" s="94">
        <f>CHOOSE($C$3,M30*M7,M31*'P&amp;L'!M5)</f>
        <v>5136.4532297555079</v>
      </c>
      <c r="N8" s="94">
        <f>CHOOSE($C$3,N30*N7,N31*'P&amp;L'!N5)</f>
        <v>5683.8694175270284</v>
      </c>
      <c r="O8" s="94">
        <f>CHOOSE($C$3,O30*O7,O31*'P&amp;L'!O5)</f>
        <v>6264.9839172858265</v>
      </c>
      <c r="P8" s="94">
        <f>CHOOSE($C$3,P30*P7,P31*'P&amp;L'!P5)</f>
        <v>6878.7881980992388</v>
      </c>
      <c r="Q8" s="94">
        <f>CHOOSE($C$3,Q30*Q7,Q31*'P&amp;L'!Q5)</f>
        <v>7523.636159100678</v>
      </c>
      <c r="R8" s="94">
        <f>CHOOSE($C$3,R30*R7,R31*'P&amp;L'!R5)</f>
        <v>8197.1385635143961</v>
      </c>
      <c r="S8" s="94">
        <f>CHOOSE($C$3,S30*S7,S31*'P&amp;L'!S5)</f>
        <v>8896.0462679639986</v>
      </c>
    </row>
    <row r="9" spans="1:19" x14ac:dyDescent="0.25">
      <c r="B9" s="18" t="s">
        <v>83</v>
      </c>
      <c r="C9" s="95">
        <f>-231931/1000</f>
        <v>-231.93100000000001</v>
      </c>
      <c r="D9" s="95">
        <f>-422590/1000</f>
        <v>-422.59</v>
      </c>
      <c r="E9" s="95">
        <f>-947099/1000</f>
        <v>-947.09900000000005</v>
      </c>
      <c r="F9" s="95">
        <f>-1166397/1000</f>
        <v>-1166.3969999999999</v>
      </c>
      <c r="G9" s="121">
        <f>-901488/1000</f>
        <v>-901.48800000000006</v>
      </c>
      <c r="H9" s="94">
        <f>H26</f>
        <v>-504.75157333333334</v>
      </c>
      <c r="I9" s="94">
        <f>G9+H9</f>
        <v>-1406.2395733333333</v>
      </c>
      <c r="J9" s="94">
        <f t="shared" ref="J9:S9" si="5">J26</f>
        <v>-1366.1942584888893</v>
      </c>
      <c r="K9" s="94">
        <f t="shared" si="5"/>
        <v>-1748.7286508657783</v>
      </c>
      <c r="L9" s="94">
        <f t="shared" si="5"/>
        <v>-2056.9420755808715</v>
      </c>
      <c r="M9" s="94">
        <f t="shared" si="5"/>
        <v>-2399.3722908979053</v>
      </c>
      <c r="N9" s="94">
        <f t="shared" si="5"/>
        <v>-2778.2969187330405</v>
      </c>
      <c r="O9" s="94">
        <f t="shared" si="5"/>
        <v>-3195.9625132187621</v>
      </c>
      <c r="P9" s="94">
        <f t="shared" si="5"/>
        <v>-3654.5483930920445</v>
      </c>
      <c r="Q9" s="94">
        <f t="shared" si="5"/>
        <v>-4156.1241370320895</v>
      </c>
      <c r="R9" s="94">
        <f t="shared" si="5"/>
        <v>-4702.6000412663825</v>
      </c>
      <c r="S9" s="94">
        <f t="shared" si="5"/>
        <v>-5295.669792463982</v>
      </c>
    </row>
    <row r="10" spans="1:19" s="21" customFormat="1" ht="14.4" thickBot="1" x14ac:dyDescent="0.3">
      <c r="B10" s="85" t="s">
        <v>84</v>
      </c>
      <c r="C10" s="96">
        <f>'Balance Sheet Input'!C12/1000</f>
        <v>1829.2670000000001</v>
      </c>
      <c r="D10" s="96">
        <f>'Balance Sheet Input'!D12/1000</f>
        <v>3403.3339999999998</v>
      </c>
      <c r="E10" s="96">
        <f>'Balance Sheet Input'!E12/1000</f>
        <v>5982.9570000000003</v>
      </c>
      <c r="F10" s="96">
        <f>'Balance Sheet Input'!F12/1000</f>
        <v>10027.522000000001</v>
      </c>
      <c r="G10" s="96">
        <f>'Balance Sheet Input'!G12/1000</f>
        <v>10969.348</v>
      </c>
      <c r="H10" s="96">
        <f>SUM(H7:H9)</f>
        <v>14637.795626666668</v>
      </c>
      <c r="I10" s="96">
        <f>SUM(I7:I9)</f>
        <v>14637.79562666667</v>
      </c>
      <c r="J10" s="96">
        <f t="shared" ref="J10:S10" si="6">SUM(J7:J9)</f>
        <v>19126.71961884445</v>
      </c>
      <c r="K10" s="96">
        <f t="shared" si="6"/>
        <v>23116.006853632007</v>
      </c>
      <c r="L10" s="96">
        <f t="shared" si="6"/>
        <v>25682.266148777537</v>
      </c>
      <c r="M10" s="96">
        <f t="shared" si="6"/>
        <v>28419.347087635142</v>
      </c>
      <c r="N10" s="96">
        <f t="shared" si="6"/>
        <v>31324.919586429129</v>
      </c>
      <c r="O10" s="96">
        <f t="shared" si="6"/>
        <v>34393.940990496194</v>
      </c>
      <c r="P10" s="96">
        <f t="shared" si="6"/>
        <v>37618.180795503387</v>
      </c>
      <c r="Q10" s="96">
        <f t="shared" si="6"/>
        <v>40985.69281757198</v>
      </c>
      <c r="R10" s="96">
        <f t="shared" si="6"/>
        <v>44480.231339819991</v>
      </c>
      <c r="S10" s="96">
        <f t="shared" si="6"/>
        <v>48080.607815320007</v>
      </c>
    </row>
    <row r="11" spans="1:19" ht="4.95" customHeight="1" x14ac:dyDescent="0.25"/>
    <row r="12" spans="1:19" x14ac:dyDescent="0.25">
      <c r="B12" s="19"/>
      <c r="C12" s="136" t="s">
        <v>185</v>
      </c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</row>
    <row r="13" spans="1:19" ht="24" x14ac:dyDescent="0.25">
      <c r="B13" s="5" t="s">
        <v>197</v>
      </c>
      <c r="C13" s="6" t="s">
        <v>45</v>
      </c>
      <c r="D13" s="6" t="s">
        <v>46</v>
      </c>
      <c r="E13" s="6" t="s">
        <v>47</v>
      </c>
      <c r="F13" s="6" t="s">
        <v>107</v>
      </c>
      <c r="G13" s="6" t="s">
        <v>115</v>
      </c>
      <c r="H13" s="67" t="s">
        <v>126</v>
      </c>
      <c r="I13" s="67" t="s">
        <v>125</v>
      </c>
      <c r="J13" s="67" t="s">
        <v>127</v>
      </c>
      <c r="K13" s="67" t="s">
        <v>128</v>
      </c>
      <c r="L13" s="67" t="s">
        <v>129</v>
      </c>
      <c r="M13" s="67" t="s">
        <v>130</v>
      </c>
      <c r="N13" s="67" t="s">
        <v>131</v>
      </c>
      <c r="O13" s="67" t="s">
        <v>204</v>
      </c>
      <c r="P13" s="67" t="s">
        <v>205</v>
      </c>
      <c r="Q13" s="67" t="s">
        <v>206</v>
      </c>
      <c r="R13" s="67" t="s">
        <v>207</v>
      </c>
      <c r="S13" s="67" t="s">
        <v>208</v>
      </c>
    </row>
    <row r="14" spans="1:19" x14ac:dyDescent="0.25">
      <c r="B14" s="22" t="s">
        <v>126</v>
      </c>
      <c r="C14" s="22"/>
      <c r="D14" s="22"/>
      <c r="E14" s="22"/>
      <c r="F14" s="22"/>
      <c r="G14" s="122"/>
      <c r="H14" s="43">
        <f>-$G$10/$C$34/2-$H$8/$C$33/2</f>
        <v>-504.75157333333334</v>
      </c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</row>
    <row r="15" spans="1:19" x14ac:dyDescent="0.25">
      <c r="B15" s="22" t="s">
        <v>125</v>
      </c>
      <c r="C15" s="22"/>
      <c r="D15" s="22"/>
      <c r="E15" s="22"/>
      <c r="F15" s="22"/>
      <c r="G15" s="122"/>
      <c r="H15" s="43"/>
      <c r="I15" s="43">
        <f>I9</f>
        <v>-1406.2395733333333</v>
      </c>
      <c r="J15" s="43"/>
      <c r="K15" s="43"/>
      <c r="L15" s="43"/>
      <c r="M15" s="43"/>
      <c r="N15" s="43"/>
      <c r="O15" s="43"/>
      <c r="P15" s="43"/>
      <c r="Q15" s="43"/>
      <c r="R15" s="43"/>
      <c r="S15" s="43"/>
    </row>
    <row r="16" spans="1:19" x14ac:dyDescent="0.25">
      <c r="B16" s="22" t="s">
        <v>127</v>
      </c>
      <c r="C16" s="22"/>
      <c r="D16" s="22"/>
      <c r="E16" s="22"/>
      <c r="F16" s="22"/>
      <c r="G16" s="122"/>
      <c r="H16" s="43"/>
      <c r="I16" s="43"/>
      <c r="J16" s="43">
        <f t="shared" ref="J16:S16" si="7">-$I$10/$C$34-$J$8/$C$33</f>
        <v>-1366.1942584888893</v>
      </c>
      <c r="K16" s="43">
        <f t="shared" si="7"/>
        <v>-1366.1942584888893</v>
      </c>
      <c r="L16" s="43">
        <f t="shared" si="7"/>
        <v>-1366.1942584888893</v>
      </c>
      <c r="M16" s="43">
        <f t="shared" si="7"/>
        <v>-1366.1942584888893</v>
      </c>
      <c r="N16" s="43">
        <f t="shared" si="7"/>
        <v>-1366.1942584888893</v>
      </c>
      <c r="O16" s="43">
        <f t="shared" si="7"/>
        <v>-1366.1942584888893</v>
      </c>
      <c r="P16" s="43">
        <f t="shared" si="7"/>
        <v>-1366.1942584888893</v>
      </c>
      <c r="Q16" s="43">
        <f t="shared" si="7"/>
        <v>-1366.1942584888893</v>
      </c>
      <c r="R16" s="43">
        <f t="shared" si="7"/>
        <v>-1366.1942584888893</v>
      </c>
      <c r="S16" s="43">
        <f t="shared" si="7"/>
        <v>-1366.1942584888893</v>
      </c>
    </row>
    <row r="17" spans="2:19" x14ac:dyDescent="0.25">
      <c r="B17" s="22" t="s">
        <v>128</v>
      </c>
      <c r="C17" s="22"/>
      <c r="D17" s="22"/>
      <c r="E17" s="22"/>
      <c r="F17" s="22"/>
      <c r="G17" s="122"/>
      <c r="H17" s="43"/>
      <c r="I17" s="43"/>
      <c r="J17" s="43"/>
      <c r="K17" s="43">
        <f t="shared" ref="K17:S17" si="8">-$K$8/$C$33</f>
        <v>-382.534392376889</v>
      </c>
      <c r="L17" s="43">
        <f t="shared" si="8"/>
        <v>-382.534392376889</v>
      </c>
      <c r="M17" s="43">
        <f t="shared" si="8"/>
        <v>-382.534392376889</v>
      </c>
      <c r="N17" s="43">
        <f t="shared" si="8"/>
        <v>-382.534392376889</v>
      </c>
      <c r="O17" s="43">
        <f t="shared" si="8"/>
        <v>-382.534392376889</v>
      </c>
      <c r="P17" s="43">
        <f t="shared" si="8"/>
        <v>-382.534392376889</v>
      </c>
      <c r="Q17" s="43">
        <f t="shared" si="8"/>
        <v>-382.534392376889</v>
      </c>
      <c r="R17" s="43">
        <f t="shared" si="8"/>
        <v>-382.534392376889</v>
      </c>
      <c r="S17" s="43">
        <f t="shared" si="8"/>
        <v>-382.534392376889</v>
      </c>
    </row>
    <row r="18" spans="2:19" x14ac:dyDescent="0.25">
      <c r="B18" s="22" t="s">
        <v>129</v>
      </c>
      <c r="C18" s="22"/>
      <c r="D18" s="22"/>
      <c r="E18" s="22"/>
      <c r="F18" s="22"/>
      <c r="G18" s="122"/>
      <c r="H18" s="43"/>
      <c r="I18" s="43"/>
      <c r="J18" s="43"/>
      <c r="K18" s="43"/>
      <c r="L18" s="43">
        <f t="shared" ref="L18:S18" si="9">-$L$8/$C$33</f>
        <v>-308.21342471509342</v>
      </c>
      <c r="M18" s="43">
        <f t="shared" si="9"/>
        <v>-308.21342471509342</v>
      </c>
      <c r="N18" s="43">
        <f t="shared" si="9"/>
        <v>-308.21342471509342</v>
      </c>
      <c r="O18" s="43">
        <f t="shared" si="9"/>
        <v>-308.21342471509342</v>
      </c>
      <c r="P18" s="43">
        <f t="shared" si="9"/>
        <v>-308.21342471509342</v>
      </c>
      <c r="Q18" s="43">
        <f t="shared" si="9"/>
        <v>-308.21342471509342</v>
      </c>
      <c r="R18" s="43">
        <f t="shared" si="9"/>
        <v>-308.21342471509342</v>
      </c>
      <c r="S18" s="43">
        <f t="shared" si="9"/>
        <v>-308.21342471509342</v>
      </c>
    </row>
    <row r="19" spans="2:19" x14ac:dyDescent="0.25">
      <c r="B19" s="22" t="s">
        <v>130</v>
      </c>
      <c r="C19" s="22"/>
      <c r="D19" s="22"/>
      <c r="E19" s="22"/>
      <c r="F19" s="22"/>
      <c r="G19" s="122"/>
      <c r="H19" s="43"/>
      <c r="I19" s="43"/>
      <c r="J19" s="43"/>
      <c r="K19" s="43"/>
      <c r="L19" s="43"/>
      <c r="M19" s="43">
        <f>-$M$8/$C$33</f>
        <v>-342.43021531703386</v>
      </c>
      <c r="N19" s="43">
        <f t="shared" ref="N19:S19" si="10">-$M$8/$C$33</f>
        <v>-342.43021531703386</v>
      </c>
      <c r="O19" s="43">
        <f t="shared" si="10"/>
        <v>-342.43021531703386</v>
      </c>
      <c r="P19" s="43">
        <f t="shared" si="10"/>
        <v>-342.43021531703386</v>
      </c>
      <c r="Q19" s="43">
        <f t="shared" si="10"/>
        <v>-342.43021531703386</v>
      </c>
      <c r="R19" s="43">
        <f t="shared" si="10"/>
        <v>-342.43021531703386</v>
      </c>
      <c r="S19" s="43">
        <f t="shared" si="10"/>
        <v>-342.43021531703386</v>
      </c>
    </row>
    <row r="20" spans="2:19" x14ac:dyDescent="0.25">
      <c r="B20" s="22" t="s">
        <v>131</v>
      </c>
      <c r="C20" s="22"/>
      <c r="D20" s="22"/>
      <c r="E20" s="22"/>
      <c r="F20" s="22"/>
      <c r="G20" s="122"/>
      <c r="H20" s="43"/>
      <c r="I20" s="43"/>
      <c r="J20" s="43"/>
      <c r="K20" s="43"/>
      <c r="L20" s="43"/>
      <c r="M20" s="43"/>
      <c r="N20" s="43">
        <f t="shared" ref="N20:S20" si="11">-$N$8/$C$33</f>
        <v>-378.92462783513525</v>
      </c>
      <c r="O20" s="43">
        <f t="shared" si="11"/>
        <v>-378.92462783513525</v>
      </c>
      <c r="P20" s="43">
        <f t="shared" si="11"/>
        <v>-378.92462783513525</v>
      </c>
      <c r="Q20" s="43">
        <f t="shared" si="11"/>
        <v>-378.92462783513525</v>
      </c>
      <c r="R20" s="43">
        <f t="shared" si="11"/>
        <v>-378.92462783513525</v>
      </c>
      <c r="S20" s="43">
        <f t="shared" si="11"/>
        <v>-378.92462783513525</v>
      </c>
    </row>
    <row r="21" spans="2:19" x14ac:dyDescent="0.25">
      <c r="B21" s="22" t="s">
        <v>211</v>
      </c>
      <c r="C21" s="22"/>
      <c r="D21" s="22"/>
      <c r="E21" s="22"/>
      <c r="F21" s="22"/>
      <c r="G21" s="122"/>
      <c r="H21" s="43"/>
      <c r="I21" s="43"/>
      <c r="J21" s="43"/>
      <c r="K21" s="43"/>
      <c r="L21" s="43"/>
      <c r="M21" s="43"/>
      <c r="N21" s="43"/>
      <c r="O21" s="43">
        <f>-$O$8/$C$33</f>
        <v>-417.66559448572178</v>
      </c>
      <c r="P21" s="43">
        <f>-$O$8/$C$33</f>
        <v>-417.66559448572178</v>
      </c>
      <c r="Q21" s="43">
        <f>-$O$8/$C$33</f>
        <v>-417.66559448572178</v>
      </c>
      <c r="R21" s="43">
        <f>-$O$8/$C$33</f>
        <v>-417.66559448572178</v>
      </c>
      <c r="S21" s="43">
        <f>-$O$8/$C$33</f>
        <v>-417.66559448572178</v>
      </c>
    </row>
    <row r="22" spans="2:19" x14ac:dyDescent="0.25">
      <c r="B22" s="22" t="s">
        <v>212</v>
      </c>
      <c r="C22" s="22"/>
      <c r="D22" s="22"/>
      <c r="E22" s="22"/>
      <c r="F22" s="22"/>
      <c r="G22" s="122"/>
      <c r="H22" s="43"/>
      <c r="I22" s="43"/>
      <c r="J22" s="43"/>
      <c r="K22" s="43"/>
      <c r="L22" s="43"/>
      <c r="M22" s="43"/>
      <c r="N22" s="43"/>
      <c r="O22" s="43"/>
      <c r="P22" s="43">
        <f>-$P$8/$C$33</f>
        <v>-458.58587987328258</v>
      </c>
      <c r="Q22" s="43">
        <f t="shared" ref="Q22:S22" si="12">-$P$8/$C$33</f>
        <v>-458.58587987328258</v>
      </c>
      <c r="R22" s="43">
        <f t="shared" si="12"/>
        <v>-458.58587987328258</v>
      </c>
      <c r="S22" s="43">
        <f t="shared" si="12"/>
        <v>-458.58587987328258</v>
      </c>
    </row>
    <row r="23" spans="2:19" x14ac:dyDescent="0.25">
      <c r="B23" s="22" t="s">
        <v>213</v>
      </c>
      <c r="C23" s="22"/>
      <c r="D23" s="22"/>
      <c r="E23" s="22"/>
      <c r="F23" s="22"/>
      <c r="G23" s="122"/>
      <c r="H23" s="43"/>
      <c r="I23" s="43"/>
      <c r="J23" s="43"/>
      <c r="K23" s="43"/>
      <c r="L23" s="43"/>
      <c r="M23" s="43"/>
      <c r="N23" s="43"/>
      <c r="O23" s="43"/>
      <c r="P23" s="43"/>
      <c r="Q23" s="43">
        <f>-$Q$8/$C$33</f>
        <v>-501.57574394004519</v>
      </c>
      <c r="R23" s="43">
        <f t="shared" ref="R23:S23" si="13">-$Q$8/$C$33</f>
        <v>-501.57574394004519</v>
      </c>
      <c r="S23" s="43">
        <f t="shared" si="13"/>
        <v>-501.57574394004519</v>
      </c>
    </row>
    <row r="24" spans="2:19" x14ac:dyDescent="0.25">
      <c r="B24" s="22" t="s">
        <v>214</v>
      </c>
      <c r="C24" s="22"/>
      <c r="D24" s="22"/>
      <c r="E24" s="22"/>
      <c r="F24" s="22"/>
      <c r="G24" s="122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>
        <f>-$R$8/$C$33</f>
        <v>-546.47590423429313</v>
      </c>
      <c r="S24" s="43">
        <f>-$R$8/$C$33</f>
        <v>-546.47590423429313</v>
      </c>
    </row>
    <row r="25" spans="2:19" x14ac:dyDescent="0.25">
      <c r="B25" s="22" t="s">
        <v>215</v>
      </c>
      <c r="C25" s="22"/>
      <c r="D25" s="22"/>
      <c r="E25" s="22"/>
      <c r="F25" s="22"/>
      <c r="G25" s="122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>
        <f>-$S$8/$C$33</f>
        <v>-593.06975119759989</v>
      </c>
    </row>
    <row r="26" spans="2:19" ht="13.8" thickBot="1" x14ac:dyDescent="0.3">
      <c r="B26" s="85" t="s">
        <v>85</v>
      </c>
      <c r="C26" s="96">
        <f>C9</f>
        <v>-231.93100000000001</v>
      </c>
      <c r="D26" s="96">
        <f>D9</f>
        <v>-422.59</v>
      </c>
      <c r="E26" s="96">
        <f>E9</f>
        <v>-947.09900000000005</v>
      </c>
      <c r="F26" s="96">
        <f>F9</f>
        <v>-1166.3969999999999</v>
      </c>
      <c r="G26" s="96">
        <f>G9</f>
        <v>-901.48800000000006</v>
      </c>
      <c r="H26" s="96">
        <f>SUM(H14:H25)</f>
        <v>-504.75157333333334</v>
      </c>
      <c r="I26" s="96">
        <f t="shared" ref="I26:S26" si="14">SUM(I14:I25)</f>
        <v>-1406.2395733333333</v>
      </c>
      <c r="J26" s="96">
        <f t="shared" si="14"/>
        <v>-1366.1942584888893</v>
      </c>
      <c r="K26" s="96">
        <f t="shared" si="14"/>
        <v>-1748.7286508657783</v>
      </c>
      <c r="L26" s="96">
        <f t="shared" si="14"/>
        <v>-2056.9420755808715</v>
      </c>
      <c r="M26" s="96">
        <f t="shared" si="14"/>
        <v>-2399.3722908979053</v>
      </c>
      <c r="N26" s="96">
        <f t="shared" si="14"/>
        <v>-2778.2969187330405</v>
      </c>
      <c r="O26" s="96">
        <f t="shared" si="14"/>
        <v>-3195.9625132187621</v>
      </c>
      <c r="P26" s="96">
        <f t="shared" si="14"/>
        <v>-3654.5483930920445</v>
      </c>
      <c r="Q26" s="96">
        <f t="shared" si="14"/>
        <v>-4156.1241370320895</v>
      </c>
      <c r="R26" s="96">
        <f t="shared" si="14"/>
        <v>-4702.6000412663825</v>
      </c>
      <c r="S26" s="96">
        <f t="shared" si="14"/>
        <v>-5295.669792463982</v>
      </c>
    </row>
    <row r="27" spans="2:19" ht="4.95" customHeight="1" x14ac:dyDescent="0.25"/>
    <row r="28" spans="2:19" x14ac:dyDescent="0.25">
      <c r="B28" s="86" t="s">
        <v>87</v>
      </c>
      <c r="C28" s="87">
        <f>C9/C7</f>
        <v>-0.3140594236378359</v>
      </c>
      <c r="D28" s="87">
        <f>D9/D7</f>
        <v>-0.23101602991799444</v>
      </c>
      <c r="E28" s="87">
        <f>E9/E7</f>
        <v>-0.2782856457814602</v>
      </c>
      <c r="F28" s="87">
        <f>F9/F7</f>
        <v>-0.19495326474851815</v>
      </c>
      <c r="G28" s="87">
        <f>G9/G7</f>
        <v>-8.9901373440018376E-2</v>
      </c>
      <c r="H28" s="88">
        <f>AVERAGE($C28:$F28)</f>
        <v>-0.25457859102145219</v>
      </c>
      <c r="I28" s="88">
        <f>AVERAGE($C28:$F28)</f>
        <v>-0.25457859102145219</v>
      </c>
      <c r="J28" s="88">
        <f t="shared" ref="J28:S28" si="15">AVERAGE($C28:$F28)</f>
        <v>-0.25457859102145219</v>
      </c>
      <c r="K28" s="88">
        <f t="shared" si="15"/>
        <v>-0.25457859102145219</v>
      </c>
      <c r="L28" s="88">
        <f t="shared" si="15"/>
        <v>-0.25457859102145219</v>
      </c>
      <c r="M28" s="88">
        <f t="shared" si="15"/>
        <v>-0.25457859102145219</v>
      </c>
      <c r="N28" s="88">
        <f t="shared" si="15"/>
        <v>-0.25457859102145219</v>
      </c>
      <c r="O28" s="88">
        <f t="shared" si="15"/>
        <v>-0.25457859102145219</v>
      </c>
      <c r="P28" s="88">
        <f t="shared" si="15"/>
        <v>-0.25457859102145219</v>
      </c>
      <c r="Q28" s="88">
        <f t="shared" si="15"/>
        <v>-0.25457859102145219</v>
      </c>
      <c r="R28" s="88">
        <f t="shared" si="15"/>
        <v>-0.25457859102145219</v>
      </c>
      <c r="S28" s="88">
        <f t="shared" si="15"/>
        <v>-0.25457859102145219</v>
      </c>
    </row>
    <row r="29" spans="2:19" x14ac:dyDescent="0.25">
      <c r="B29" s="86" t="s">
        <v>88</v>
      </c>
      <c r="C29" s="87" t="e">
        <f>C9/'P&amp;L'!C5</f>
        <v>#DIV/0!</v>
      </c>
      <c r="D29" s="87" t="e">
        <f>D9/'P&amp;L'!D5</f>
        <v>#DIV/0!</v>
      </c>
      <c r="E29" s="87" t="e">
        <f>E9/'P&amp;L'!E5</f>
        <v>#DIV/0!</v>
      </c>
      <c r="F29" s="87" t="e">
        <f>F9/'P&amp;L'!F5</f>
        <v>#DIV/0!</v>
      </c>
      <c r="G29" s="87" t="e">
        <f>G9/'P&amp;L'!G5</f>
        <v>#DIV/0!</v>
      </c>
      <c r="H29" s="88" t="e">
        <f>H9/'P&amp;L'!H5</f>
        <v>#DIV/0!</v>
      </c>
      <c r="I29" s="88" t="e">
        <f>I9/'P&amp;L'!I5</f>
        <v>#DIV/0!</v>
      </c>
      <c r="J29" s="88" t="e">
        <f>J9/'P&amp;L'!J5</f>
        <v>#DIV/0!</v>
      </c>
      <c r="K29" s="88" t="e">
        <f>K9/'P&amp;L'!K5</f>
        <v>#DIV/0!</v>
      </c>
      <c r="L29" s="88" t="e">
        <f>L9/'P&amp;L'!L5</f>
        <v>#DIV/0!</v>
      </c>
      <c r="M29" s="88" t="e">
        <f>M9/'P&amp;L'!M5</f>
        <v>#DIV/0!</v>
      </c>
      <c r="N29" s="88" t="e">
        <f>N9/'P&amp;L'!N5</f>
        <v>#DIV/0!</v>
      </c>
      <c r="O29" s="88" t="e">
        <f>O9/'P&amp;L'!O5</f>
        <v>#DIV/0!</v>
      </c>
      <c r="P29" s="88" t="e">
        <f>P9/'P&amp;L'!P5</f>
        <v>#DIV/0!</v>
      </c>
      <c r="Q29" s="88" t="e">
        <f>Q9/'P&amp;L'!Q5</f>
        <v>#DIV/0!</v>
      </c>
      <c r="R29" s="88" t="e">
        <f>R9/'P&amp;L'!R5</f>
        <v>#DIV/0!</v>
      </c>
      <c r="S29" s="88" t="e">
        <f>S9/'P&amp;L'!S5</f>
        <v>#DIV/0!</v>
      </c>
    </row>
    <row r="30" spans="2:19" x14ac:dyDescent="0.25">
      <c r="B30" s="86" t="s">
        <v>86</v>
      </c>
      <c r="C30" s="87">
        <f>C8/C7</f>
        <v>1.7910829336460419</v>
      </c>
      <c r="D30" s="87">
        <f>D8/D7</f>
        <v>1.0915065979979957</v>
      </c>
      <c r="E30" s="87">
        <f>E8/E7</f>
        <v>1.0362550369725689</v>
      </c>
      <c r="F30" s="87">
        <f>F8/F7</f>
        <v>0.87096765027727929</v>
      </c>
      <c r="G30" s="87">
        <f>G8/G7</f>
        <v>0.18382547552625653</v>
      </c>
      <c r="H30" s="88">
        <f>AVERAGE($C30:$G30)</f>
        <v>0.99472753888402843</v>
      </c>
      <c r="I30" s="88">
        <v>0.6</v>
      </c>
      <c r="J30" s="88">
        <v>0.4</v>
      </c>
      <c r="K30" s="88">
        <v>0.3</v>
      </c>
      <c r="L30" s="88">
        <v>0.2</v>
      </c>
      <c r="M30" s="88">
        <v>0.2</v>
      </c>
      <c r="N30" s="88">
        <v>0.2</v>
      </c>
      <c r="O30" s="88">
        <v>0.2</v>
      </c>
      <c r="P30" s="88">
        <v>0.2</v>
      </c>
      <c r="Q30" s="88">
        <v>0.2</v>
      </c>
      <c r="R30" s="88">
        <v>0.2</v>
      </c>
      <c r="S30" s="88">
        <v>0.2</v>
      </c>
    </row>
    <row r="31" spans="2:19" x14ac:dyDescent="0.25">
      <c r="B31" s="86" t="s">
        <v>89</v>
      </c>
      <c r="C31" s="87">
        <f>1000*C8/'P&amp;L Input'!C7</f>
        <v>0.41355746514771974</v>
      </c>
      <c r="D31" s="87">
        <f>1000*D8/'P&amp;L Input'!D7</f>
        <v>0.49348607583986748</v>
      </c>
      <c r="E31" s="87">
        <f>1000*E8/'P&amp;L Input'!E7</f>
        <v>0.50380792819335418</v>
      </c>
      <c r="F31" s="87">
        <f>1000*F8/'P&amp;L Input'!F7</f>
        <v>0.44315608009728247</v>
      </c>
      <c r="G31" s="87">
        <f>1000*G8/'P&amp;L Input'!G7</f>
        <v>0.24872736163709466</v>
      </c>
      <c r="H31" s="88">
        <f>AVERAGE($C31:$G31)</f>
        <v>0.42054698218306374</v>
      </c>
      <c r="I31" s="88">
        <f>AVERAGE($C31:$G31)</f>
        <v>0.42054698218306374</v>
      </c>
      <c r="J31" s="88">
        <f t="shared" ref="J31" si="16">AVERAGE($C31:$G31)</f>
        <v>0.42054698218306374</v>
      </c>
      <c r="K31" s="88">
        <v>0.2</v>
      </c>
      <c r="L31" s="88">
        <v>0.15</v>
      </c>
      <c r="M31" s="88">
        <v>0.1</v>
      </c>
      <c r="N31" s="88">
        <v>0.1</v>
      </c>
      <c r="O31" s="88">
        <v>0.1</v>
      </c>
      <c r="P31" s="88">
        <v>0.1</v>
      </c>
      <c r="Q31" s="88">
        <v>0.1</v>
      </c>
      <c r="R31" s="88">
        <v>0.1</v>
      </c>
      <c r="S31" s="88">
        <v>0.1</v>
      </c>
    </row>
    <row r="32" spans="2:19" ht="3.75" customHeight="1" x14ac:dyDescent="0.25">
      <c r="B32" s="22"/>
      <c r="C32" s="4"/>
      <c r="D32" s="4"/>
      <c r="E32" s="4"/>
      <c r="F32" s="4"/>
    </row>
    <row r="33" spans="2:3" x14ac:dyDescent="0.25">
      <c r="B33" s="19" t="s">
        <v>91</v>
      </c>
      <c r="C33" s="20">
        <v>15</v>
      </c>
    </row>
    <row r="34" spans="2:3" x14ac:dyDescent="0.25">
      <c r="B34" s="19" t="s">
        <v>90</v>
      </c>
      <c r="C34" s="20">
        <v>15</v>
      </c>
    </row>
  </sheetData>
  <mergeCells count="2">
    <mergeCell ref="C5:S5"/>
    <mergeCell ref="C12:S12"/>
  </mergeCells>
  <dataValidations count="1">
    <dataValidation type="list" allowBlank="1" showInputMessage="1" showErrorMessage="1" sqref="C3" xr:uid="{A9C92D1A-84F1-4102-A461-50019CA9BC9F}">
      <formula1>"1,2"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DAEE8-32EC-42A1-A7FC-690B76486F86}">
  <dimension ref="A1:G18"/>
  <sheetViews>
    <sheetView workbookViewId="0">
      <selection activeCell="C6" sqref="C6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4" width="12.88671875" style="8" customWidth="1"/>
    <col min="5" max="5" width="2" style="8" customWidth="1"/>
    <col min="6" max="7" width="12.88671875" style="8" customWidth="1"/>
    <col min="8" max="16384" width="9.109375" style="8"/>
  </cols>
  <sheetData>
    <row r="1" spans="1:7" ht="15.6" x14ac:dyDescent="0.25">
      <c r="A1" s="1"/>
      <c r="B1" s="2" t="s">
        <v>190</v>
      </c>
    </row>
    <row r="2" spans="1:7" ht="15.6" x14ac:dyDescent="0.25">
      <c r="A2" s="1"/>
      <c r="B2" s="2"/>
    </row>
    <row r="3" spans="1:7" ht="13.2" x14ac:dyDescent="0.25">
      <c r="A3" s="1"/>
      <c r="B3" s="71" t="s">
        <v>210</v>
      </c>
    </row>
    <row r="5" spans="1:7" ht="12" x14ac:dyDescent="0.25">
      <c r="C5" s="136" t="s">
        <v>87</v>
      </c>
      <c r="D5" s="136"/>
      <c r="F5" s="136" t="s">
        <v>88</v>
      </c>
      <c r="G5" s="136"/>
    </row>
    <row r="6" spans="1:7" ht="12" x14ac:dyDescent="0.25">
      <c r="B6" s="30" t="s">
        <v>243</v>
      </c>
      <c r="C6" s="31" t="s">
        <v>141</v>
      </c>
      <c r="D6" s="31" t="s">
        <v>177</v>
      </c>
      <c r="F6" s="31" t="s">
        <v>141</v>
      </c>
      <c r="G6" s="31" t="s">
        <v>177</v>
      </c>
    </row>
    <row r="7" spans="1:7" x14ac:dyDescent="0.25">
      <c r="B7" s="8" t="s">
        <v>166</v>
      </c>
      <c r="C7" s="80">
        <f>-12261/36253</f>
        <v>-0.33820649325573054</v>
      </c>
      <c r="D7" s="82">
        <f>C7</f>
        <v>-0.33820649325573054</v>
      </c>
      <c r="F7" s="80">
        <f>-12261/145588</f>
        <v>-8.421710580542352E-2</v>
      </c>
      <c r="G7" s="28">
        <f t="shared" ref="G7:G12" si="0">F7</f>
        <v>-8.421710580542352E-2</v>
      </c>
    </row>
    <row r="8" spans="1:7" x14ac:dyDescent="0.25">
      <c r="B8" s="8" t="s">
        <v>167</v>
      </c>
      <c r="C8" s="82">
        <f>-7385/30163</f>
        <v>-0.24483638895335344</v>
      </c>
      <c r="D8" s="82">
        <f>C8</f>
        <v>-0.24483638895335344</v>
      </c>
      <c r="F8" s="82">
        <f>-7385/151800</f>
        <v>-4.8649538866930173E-2</v>
      </c>
      <c r="G8" s="28">
        <f t="shared" si="0"/>
        <v>-4.8649538866930173E-2</v>
      </c>
    </row>
    <row r="9" spans="1:7" x14ac:dyDescent="0.25">
      <c r="B9" s="8" t="s">
        <v>168</v>
      </c>
      <c r="C9" s="82">
        <f>-5890/29014</f>
        <v>-0.20300544564692907</v>
      </c>
      <c r="D9" s="82">
        <f>C9</f>
        <v>-0.20300544564692907</v>
      </c>
      <c r="F9" s="82">
        <f>-5890/110934</f>
        <v>-5.309463284475454E-2</v>
      </c>
      <c r="G9" s="82">
        <f t="shared" si="0"/>
        <v>-5.309463284475454E-2</v>
      </c>
    </row>
    <row r="10" spans="1:7" x14ac:dyDescent="0.25">
      <c r="B10" s="8" t="s">
        <v>169</v>
      </c>
      <c r="C10" s="82">
        <f>-4822/11455</f>
        <v>-0.42095154954168484</v>
      </c>
      <c r="D10" s="82">
        <f t="shared" ref="D10:D14" si="1">C10</f>
        <v>-0.42095154954168484</v>
      </c>
      <c r="F10" s="82">
        <f>-4822/79215</f>
        <v>-6.0872309537335099E-2</v>
      </c>
      <c r="G10" s="28">
        <f t="shared" si="0"/>
        <v>-6.0872309537335099E-2</v>
      </c>
    </row>
    <row r="11" spans="1:7" x14ac:dyDescent="0.25">
      <c r="B11" s="8" t="s">
        <v>170</v>
      </c>
      <c r="C11" s="82">
        <f>-22165/55243</f>
        <v>-0.40122730481689989</v>
      </c>
      <c r="D11" s="82">
        <f t="shared" si="1"/>
        <v>-0.40122730481689989</v>
      </c>
      <c r="F11" s="82">
        <f>-22165/230682</f>
        <v>-9.6084653332292935E-2</v>
      </c>
      <c r="G11" s="28">
        <f t="shared" si="0"/>
        <v>-9.6084653332292935E-2</v>
      </c>
    </row>
    <row r="12" spans="1:7" x14ac:dyDescent="0.25">
      <c r="B12" s="8" t="s">
        <v>171</v>
      </c>
      <c r="C12" s="82">
        <v>-0.28139337298215805</v>
      </c>
      <c r="D12" s="82">
        <f t="shared" si="1"/>
        <v>-0.28139337298215805</v>
      </c>
      <c r="F12" s="82">
        <f>-1656/24339</f>
        <v>-6.8038949833600398E-2</v>
      </c>
      <c r="G12" s="28">
        <f t="shared" si="0"/>
        <v>-6.8038949833600398E-2</v>
      </c>
    </row>
    <row r="13" spans="1:7" x14ac:dyDescent="0.25">
      <c r="B13" s="8" t="s">
        <v>172</v>
      </c>
      <c r="C13" s="82">
        <f>-2276/5903</f>
        <v>-0.38556666101982046</v>
      </c>
      <c r="D13" s="82">
        <f t="shared" si="1"/>
        <v>-0.38556666101982046</v>
      </c>
      <c r="F13" s="82">
        <f>-2276/23491</f>
        <v>-9.6888169937422844E-2</v>
      </c>
      <c r="G13" s="28">
        <f t="shared" ref="G13:G14" si="2">F13</f>
        <v>-9.6888169937422844E-2</v>
      </c>
    </row>
    <row r="14" spans="1:7" x14ac:dyDescent="0.25">
      <c r="B14" s="8" t="s">
        <v>173</v>
      </c>
      <c r="C14" s="82">
        <f>-260606/710260</f>
        <v>-0.36691634049502997</v>
      </c>
      <c r="D14" s="82">
        <f t="shared" si="1"/>
        <v>-0.36691634049502997</v>
      </c>
      <c r="F14" s="82">
        <f>-260606/3416890</f>
        <v>-7.6269941379441542E-2</v>
      </c>
      <c r="G14" s="28">
        <f t="shared" si="2"/>
        <v>-7.6269941379441542E-2</v>
      </c>
    </row>
    <row r="15" spans="1:7" x14ac:dyDescent="0.25">
      <c r="B15" s="8" t="s">
        <v>174</v>
      </c>
      <c r="C15" s="82">
        <f>-3941/29711</f>
        <v>-0.13264447511022853</v>
      </c>
      <c r="D15" s="82">
        <f>C15</f>
        <v>-0.13264447511022853</v>
      </c>
      <c r="F15" s="82">
        <f>-3941/123365</f>
        <v>-3.1945851740769263E-2</v>
      </c>
      <c r="G15" s="82">
        <f>F15</f>
        <v>-3.1945851740769263E-2</v>
      </c>
    </row>
    <row r="16" spans="1:7" x14ac:dyDescent="0.25">
      <c r="B16" s="8" t="s">
        <v>175</v>
      </c>
      <c r="C16" s="82">
        <f>(-358-610)/2639</f>
        <v>-0.36680560818491853</v>
      </c>
      <c r="D16" s="82">
        <f>C16</f>
        <v>-0.36680560818491853</v>
      </c>
      <c r="F16" s="82">
        <f>(-358-610)/14342</f>
        <v>-6.7494073350997066E-2</v>
      </c>
      <c r="G16" s="28">
        <f>F16</f>
        <v>-6.7494073350997066E-2</v>
      </c>
    </row>
    <row r="17" spans="2:7" x14ac:dyDescent="0.25">
      <c r="B17" s="98" t="s">
        <v>176</v>
      </c>
      <c r="C17" s="83"/>
      <c r="D17" s="83"/>
      <c r="E17" s="98"/>
      <c r="F17" s="83"/>
      <c r="G17" s="83"/>
    </row>
    <row r="18" spans="2:7" ht="12" x14ac:dyDescent="0.25">
      <c r="B18" s="9" t="s">
        <v>141</v>
      </c>
      <c r="C18" s="97">
        <f>AVERAGE(C7:C17)</f>
        <v>-0.31415536400067534</v>
      </c>
      <c r="D18" s="97">
        <f>AVERAGE(D7:D17)</f>
        <v>-0.31415536400067534</v>
      </c>
      <c r="F18" s="97">
        <f>AVERAGE(F7:F17)</f>
        <v>-6.8355522662896753E-2</v>
      </c>
      <c r="G18" s="97">
        <f>AVERAGE(G7:G17)</f>
        <v>-6.8355522662896753E-2</v>
      </c>
    </row>
  </sheetData>
  <mergeCells count="2">
    <mergeCell ref="C5:D5"/>
    <mergeCell ref="F5:G5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8A15F-8347-4CF2-95A0-3FD476ED76BB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6F980-E91C-42CD-8BD9-14F711B36EBB}">
  <dimension ref="A1:M18"/>
  <sheetViews>
    <sheetView workbookViewId="0">
      <selection activeCell="D35" sqref="D35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4" width="12.88671875" style="8" customWidth="1"/>
    <col min="5" max="5" width="2" style="8" customWidth="1"/>
    <col min="6" max="7" width="12.88671875" style="8" customWidth="1"/>
    <col min="8" max="8" width="2" style="8" customWidth="1"/>
    <col min="9" max="10" width="9.109375" style="8"/>
    <col min="11" max="11" width="2" style="8" customWidth="1"/>
    <col min="12" max="16384" width="9.109375" style="8"/>
  </cols>
  <sheetData>
    <row r="1" spans="1:13" ht="15.6" x14ac:dyDescent="0.25">
      <c r="A1" s="1"/>
      <c r="B1" s="2" t="s">
        <v>230</v>
      </c>
    </row>
    <row r="2" spans="1:13" ht="15.6" x14ac:dyDescent="0.25">
      <c r="A2" s="1"/>
      <c r="B2" s="2"/>
    </row>
    <row r="3" spans="1:13" ht="13.2" x14ac:dyDescent="0.25">
      <c r="A3" s="1"/>
      <c r="B3" s="71" t="s">
        <v>210</v>
      </c>
    </row>
    <row r="5" spans="1:13" ht="12" x14ac:dyDescent="0.25">
      <c r="C5" s="136" t="s">
        <v>51</v>
      </c>
      <c r="D5" s="136"/>
      <c r="F5" s="136" t="s">
        <v>52</v>
      </c>
      <c r="G5" s="136"/>
      <c r="I5" s="136" t="s">
        <v>53</v>
      </c>
      <c r="J5" s="136"/>
      <c r="L5" s="136" t="s">
        <v>191</v>
      </c>
      <c r="M5" s="136"/>
    </row>
    <row r="6" spans="1:13" ht="24" x14ac:dyDescent="0.25">
      <c r="B6" s="30" t="s">
        <v>114</v>
      </c>
      <c r="C6" s="31" t="s">
        <v>141</v>
      </c>
      <c r="D6" s="31" t="s">
        <v>177</v>
      </c>
      <c r="F6" s="31" t="s">
        <v>141</v>
      </c>
      <c r="G6" s="31" t="s">
        <v>177</v>
      </c>
      <c r="I6" s="31" t="s">
        <v>141</v>
      </c>
      <c r="J6" s="31" t="s">
        <v>177</v>
      </c>
      <c r="L6" s="34" t="s">
        <v>141</v>
      </c>
      <c r="M6" s="34" t="s">
        <v>177</v>
      </c>
    </row>
    <row r="7" spans="1:13" x14ac:dyDescent="0.25">
      <c r="B7" s="8" t="s">
        <v>166</v>
      </c>
      <c r="C7" s="15">
        <f>8164/133449*360</f>
        <v>22.023694445068902</v>
      </c>
      <c r="D7" s="107">
        <f>C7</f>
        <v>22.023694445068902</v>
      </c>
      <c r="F7" s="103">
        <f>10663/133449*360</f>
        <v>28.765146235640582</v>
      </c>
      <c r="G7" s="107">
        <f>F7</f>
        <v>28.765146235640582</v>
      </c>
      <c r="I7" s="103">
        <f>23929/114869*360</f>
        <v>74.993601406819948</v>
      </c>
      <c r="J7" s="107">
        <f>I7</f>
        <v>74.993601406819948</v>
      </c>
      <c r="L7" s="104">
        <f>C7+F7-I7</f>
        <v>-24.204760726110464</v>
      </c>
      <c r="M7" s="108">
        <f>L7</f>
        <v>-24.204760726110464</v>
      </c>
    </row>
    <row r="8" spans="1:13" x14ac:dyDescent="0.25">
      <c r="B8" s="8" t="s">
        <v>167</v>
      </c>
      <c r="C8" s="15">
        <f>11102/141546*360</f>
        <v>28.236191768047135</v>
      </c>
      <c r="D8" s="107">
        <f t="shared" ref="D8:D11" si="0">C8</f>
        <v>28.236191768047135</v>
      </c>
      <c r="F8" s="15">
        <f>8319/141546*360</f>
        <v>21.1580687550337</v>
      </c>
      <c r="G8" s="107">
        <f t="shared" ref="G8:G11" si="1">F8</f>
        <v>21.1580687550337</v>
      </c>
      <c r="I8" s="15">
        <f>21296/126584*360</f>
        <v>60.565000315995704</v>
      </c>
      <c r="J8" s="107">
        <f t="shared" ref="J8:J11" si="2">I8</f>
        <v>60.565000315995704</v>
      </c>
      <c r="L8" s="104">
        <f t="shared" ref="L8:M17" si="3">C8+F8-I8</f>
        <v>-11.170739792914873</v>
      </c>
      <c r="M8" s="108">
        <f t="shared" ref="M8:M11" si="4">L8</f>
        <v>-11.170739792914873</v>
      </c>
    </row>
    <row r="9" spans="1:13" x14ac:dyDescent="0.25">
      <c r="B9" s="8" t="s">
        <v>168</v>
      </c>
      <c r="C9" s="15">
        <f>7887/110936*360</f>
        <v>25.594216485180642</v>
      </c>
      <c r="D9" s="107">
        <f t="shared" si="0"/>
        <v>25.594216485180642</v>
      </c>
      <c r="F9" s="15">
        <f>12922/110936*360</f>
        <v>41.933366986370515</v>
      </c>
      <c r="G9" s="107">
        <f t="shared" si="1"/>
        <v>41.933366986370515</v>
      </c>
      <c r="I9" s="15">
        <f>21939/93975*360</f>
        <v>84.044054269752593</v>
      </c>
      <c r="J9" s="107">
        <f t="shared" si="2"/>
        <v>84.044054269752593</v>
      </c>
      <c r="L9" s="104">
        <f t="shared" si="3"/>
        <v>-16.516470798201439</v>
      </c>
      <c r="M9" s="108">
        <f t="shared" si="4"/>
        <v>-16.516470798201439</v>
      </c>
    </row>
    <row r="10" spans="1:13" x14ac:dyDescent="0.25">
      <c r="B10" s="8" t="s">
        <v>169</v>
      </c>
      <c r="C10" s="15">
        <f>(2667)/98678*360</f>
        <v>9.7298283305296014</v>
      </c>
      <c r="D10" s="107">
        <f t="shared" si="0"/>
        <v>9.7298283305296014</v>
      </c>
      <c r="F10" s="15">
        <f>(12707)/98678*360</f>
        <v>46.358053466831514</v>
      </c>
      <c r="G10" s="107">
        <f t="shared" si="1"/>
        <v>46.358053466831514</v>
      </c>
      <c r="I10" s="15">
        <f>9731/78744*360</f>
        <v>44.487960987503811</v>
      </c>
      <c r="J10" s="107">
        <f t="shared" si="2"/>
        <v>44.487960987503811</v>
      </c>
      <c r="L10" s="104">
        <f t="shared" si="3"/>
        <v>11.599920809857302</v>
      </c>
      <c r="M10" s="108">
        <f t="shared" si="4"/>
        <v>11.599920809857302</v>
      </c>
    </row>
    <row r="11" spans="1:13" x14ac:dyDescent="0.25">
      <c r="B11" s="8" t="s">
        <v>170</v>
      </c>
      <c r="C11" s="15">
        <f>13357/230682*360</f>
        <v>20.844799334148309</v>
      </c>
      <c r="D11" s="107">
        <f t="shared" si="0"/>
        <v>20.844799334148309</v>
      </c>
      <c r="F11" s="15">
        <f>40415/230682*360</f>
        <v>63.071240929071188</v>
      </c>
      <c r="G11" s="107">
        <f t="shared" si="1"/>
        <v>63.071240929071188</v>
      </c>
      <c r="I11" s="15">
        <f>23046/188140*360</f>
        <v>44.097799511002449</v>
      </c>
      <c r="J11" s="107">
        <f t="shared" si="2"/>
        <v>44.097799511002449</v>
      </c>
      <c r="L11" s="104">
        <f t="shared" si="3"/>
        <v>39.818240752217051</v>
      </c>
      <c r="M11" s="108">
        <f t="shared" si="4"/>
        <v>39.818240752217051</v>
      </c>
    </row>
    <row r="12" spans="1:13" x14ac:dyDescent="0.25">
      <c r="B12" s="98" t="s">
        <v>171</v>
      </c>
      <c r="C12" s="106">
        <f>1273/24339*360</f>
        <v>18.829039812646371</v>
      </c>
      <c r="D12" s="83"/>
      <c r="E12" s="98"/>
      <c r="F12" s="106">
        <f>3464/24339*360</f>
        <v>51.236287439911251</v>
      </c>
      <c r="G12" s="83"/>
      <c r="H12" s="98"/>
      <c r="I12" s="106">
        <f>6508/15071*360</f>
        <v>155.45617410921639</v>
      </c>
      <c r="J12" s="83"/>
      <c r="L12" s="104">
        <f t="shared" si="3"/>
        <v>-85.390846856658769</v>
      </c>
      <c r="M12" s="83"/>
    </row>
    <row r="13" spans="1:13" x14ac:dyDescent="0.25">
      <c r="B13" s="8" t="s">
        <v>172</v>
      </c>
      <c r="C13" s="15">
        <f>598/23491*360</f>
        <v>9.1643608190370784</v>
      </c>
      <c r="D13" s="107">
        <f t="shared" ref="D13:D15" si="5">C13</f>
        <v>9.1643608190370784</v>
      </c>
      <c r="F13" s="15">
        <f>3051/23491*360</f>
        <v>46.756630198799542</v>
      </c>
      <c r="G13" s="107">
        <f t="shared" ref="G13:G15" si="6">F13</f>
        <v>46.756630198799542</v>
      </c>
      <c r="I13" s="15">
        <f>3048/16872*360</f>
        <v>65.035561877667135</v>
      </c>
      <c r="J13" s="107">
        <f t="shared" ref="J13:J15" si="7">I13</f>
        <v>65.035561877667135</v>
      </c>
      <c r="L13" s="104">
        <f t="shared" si="3"/>
        <v>-9.1145708598305148</v>
      </c>
      <c r="M13" s="108">
        <f t="shared" ref="M13:M15" si="8">L13</f>
        <v>-9.1145708598305148</v>
      </c>
    </row>
    <row r="14" spans="1:13" x14ac:dyDescent="0.25">
      <c r="B14" s="8" t="s">
        <v>173</v>
      </c>
      <c r="C14" s="15">
        <f>239410/3416890*360</f>
        <v>25.223990236735744</v>
      </c>
      <c r="D14" s="107">
        <f t="shared" si="5"/>
        <v>25.223990236735744</v>
      </c>
      <c r="F14" s="15">
        <f>393765/3416890*360</f>
        <v>41.486673554021351</v>
      </c>
      <c r="G14" s="107">
        <f t="shared" si="6"/>
        <v>41.486673554021351</v>
      </c>
      <c r="I14" s="15">
        <f>607505/1650860*360</f>
        <v>132.47749657754142</v>
      </c>
      <c r="J14" s="107">
        <f t="shared" si="7"/>
        <v>132.47749657754142</v>
      </c>
      <c r="L14" s="104">
        <f t="shared" si="3"/>
        <v>-65.76683278678432</v>
      </c>
      <c r="M14" s="108">
        <f t="shared" si="8"/>
        <v>-65.76683278678432</v>
      </c>
    </row>
    <row r="15" spans="1:13" x14ac:dyDescent="0.25">
      <c r="B15" s="8" t="s">
        <v>174</v>
      </c>
      <c r="C15" s="15">
        <f>9024/119713*360</f>
        <v>27.136902424966379</v>
      </c>
      <c r="D15" s="107">
        <f t="shared" si="5"/>
        <v>27.136902424966379</v>
      </c>
      <c r="F15" s="15">
        <f>21589/119713*360</f>
        <v>64.922272434906816</v>
      </c>
      <c r="G15" s="107">
        <f t="shared" si="6"/>
        <v>64.922272434906816</v>
      </c>
      <c r="I15" s="15">
        <f>14016/90238*360</f>
        <v>55.91613289301624</v>
      </c>
      <c r="J15" s="107">
        <f t="shared" si="7"/>
        <v>55.91613289301624</v>
      </c>
      <c r="L15" s="104">
        <f t="shared" si="3"/>
        <v>36.143041966856956</v>
      </c>
      <c r="M15" s="108">
        <f t="shared" si="8"/>
        <v>36.143041966856956</v>
      </c>
    </row>
    <row r="16" spans="1:13" x14ac:dyDescent="0.25">
      <c r="B16" s="98" t="s">
        <v>175</v>
      </c>
      <c r="C16" s="106">
        <f>2171/14342*360</f>
        <v>54.494491702691398</v>
      </c>
      <c r="D16" s="83"/>
      <c r="E16" s="98"/>
      <c r="F16" s="106">
        <f>3397/14342*360</f>
        <v>85.268442337191473</v>
      </c>
      <c r="G16" s="83"/>
      <c r="H16" s="98"/>
      <c r="I16" s="106">
        <f>1925/11671*360</f>
        <v>59.377945334590009</v>
      </c>
      <c r="J16" s="83"/>
      <c r="L16" s="104">
        <f t="shared" si="3"/>
        <v>80.384988705292869</v>
      </c>
      <c r="M16" s="83"/>
    </row>
    <row r="17" spans="2:13" x14ac:dyDescent="0.25">
      <c r="B17" s="8" t="s">
        <v>176</v>
      </c>
      <c r="C17" s="15">
        <f>1127.9/18187.5*360</f>
        <v>22.325443298969073</v>
      </c>
      <c r="D17" s="107">
        <f>C17</f>
        <v>22.325443298969073</v>
      </c>
      <c r="F17" s="15">
        <f>928.4/18187.5*360</f>
        <v>18.376577319587629</v>
      </c>
      <c r="G17" s="107">
        <f>F17</f>
        <v>18.376577319587629</v>
      </c>
      <c r="I17" s="15">
        <f>2569.5/15593.7*360</f>
        <v>59.320110044441016</v>
      </c>
      <c r="J17" s="107">
        <f>I17</f>
        <v>59.320110044441016</v>
      </c>
      <c r="L17" s="104">
        <f t="shared" si="3"/>
        <v>-18.618089425884314</v>
      </c>
      <c r="M17" s="104">
        <f t="shared" si="3"/>
        <v>-18.618089425884314</v>
      </c>
    </row>
    <row r="18" spans="2:13" ht="12" x14ac:dyDescent="0.25">
      <c r="B18" s="9" t="s">
        <v>141</v>
      </c>
      <c r="C18" s="110">
        <f>AVERAGE(C7:C17)</f>
        <v>23.963905332547327</v>
      </c>
      <c r="D18" s="110">
        <f>AVERAGE(D7:D17)</f>
        <v>21.142158571409208</v>
      </c>
      <c r="F18" s="110">
        <f>AVERAGE(F7:F17)</f>
        <v>46.302978150669595</v>
      </c>
      <c r="G18" s="110">
        <f>AVERAGE(G7:G17)</f>
        <v>41.425336653362535</v>
      </c>
      <c r="I18" s="110">
        <f>AVERAGE(I7:I17)</f>
        <v>75.979257938867875</v>
      </c>
      <c r="J18" s="110">
        <f>AVERAGE(J7:J17)</f>
        <v>68.993079764860028</v>
      </c>
      <c r="L18" s="105">
        <f>AVERAGE(L7:L17)</f>
        <v>-5.7123744556509575</v>
      </c>
      <c r="M18" s="105">
        <f>AVERAGE(M7:M17)</f>
        <v>-6.4255845400882912</v>
      </c>
    </row>
  </sheetData>
  <mergeCells count="4">
    <mergeCell ref="C5:D5"/>
    <mergeCell ref="F5:G5"/>
    <mergeCell ref="I5:J5"/>
    <mergeCell ref="L5:M5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14"/>
  <sheetViews>
    <sheetView topLeftCell="C1" workbookViewId="0">
      <selection activeCell="N5" sqref="N5"/>
    </sheetView>
  </sheetViews>
  <sheetFormatPr defaultColWidth="9.109375" defaultRowHeight="13.2" x14ac:dyDescent="0.25"/>
  <cols>
    <col min="1" max="1" width="2" style="18" customWidth="1"/>
    <col min="2" max="2" width="19.109375" style="18" customWidth="1"/>
    <col min="3" max="14" width="9.77734375" style="18" customWidth="1"/>
    <col min="15" max="16384" width="9.109375" style="18"/>
  </cols>
  <sheetData>
    <row r="1" spans="2:19" ht="15.6" x14ac:dyDescent="0.3">
      <c r="B1" s="17" t="s">
        <v>92</v>
      </c>
    </row>
    <row r="3" spans="2:19" x14ac:dyDescent="0.25">
      <c r="C3" s="136" t="s">
        <v>192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4" spans="2:19" ht="28.8" customHeight="1" x14ac:dyDescent="0.25">
      <c r="B4" s="5" t="s">
        <v>197</v>
      </c>
      <c r="C4" s="6" t="s">
        <v>181</v>
      </c>
      <c r="D4" s="6" t="s">
        <v>182</v>
      </c>
      <c r="E4" s="6" t="s">
        <v>183</v>
      </c>
      <c r="F4" s="6" t="s">
        <v>186</v>
      </c>
      <c r="G4" s="6" t="s">
        <v>184</v>
      </c>
      <c r="H4" s="67"/>
      <c r="I4" s="67" t="s">
        <v>216</v>
      </c>
      <c r="J4" s="67" t="s">
        <v>217</v>
      </c>
      <c r="K4" s="67" t="s">
        <v>218</v>
      </c>
      <c r="L4" s="67" t="s">
        <v>219</v>
      </c>
      <c r="M4" s="67" t="s">
        <v>220</v>
      </c>
      <c r="N4" s="67" t="s">
        <v>221</v>
      </c>
      <c r="O4" s="67" t="s">
        <v>222</v>
      </c>
      <c r="P4" s="67" t="s">
        <v>223</v>
      </c>
      <c r="Q4" s="67" t="s">
        <v>224</v>
      </c>
      <c r="R4" s="67" t="s">
        <v>225</v>
      </c>
      <c r="S4" s="67" t="s">
        <v>226</v>
      </c>
    </row>
    <row r="5" spans="2:19" x14ac:dyDescent="0.25">
      <c r="B5" s="8" t="s">
        <v>93</v>
      </c>
      <c r="C5" s="101">
        <f>'Balance Sheet Input'!C6/1000</f>
        <v>226.60400000000001</v>
      </c>
      <c r="D5" s="101">
        <f>'Balance Sheet Input'!D6/1000</f>
        <v>168.965</v>
      </c>
      <c r="E5" s="101">
        <f>'Balance Sheet Input'!E6/1000</f>
        <v>499.142</v>
      </c>
      <c r="F5" s="101">
        <f>'Balance Sheet Input'!F6/1000</f>
        <v>515.38099999999997</v>
      </c>
      <c r="G5" s="123">
        <f>'Balance Sheet Input'!G6/1000</f>
        <v>569.87400000000002</v>
      </c>
      <c r="H5" s="100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</row>
    <row r="6" spans="2:19" x14ac:dyDescent="0.25">
      <c r="B6" s="8" t="s">
        <v>9</v>
      </c>
      <c r="C6" s="101">
        <f>'Balance Sheet Input'!C7/1000</f>
        <v>953.67499999999995</v>
      </c>
      <c r="D6" s="101">
        <f>'Balance Sheet Input'!D7/1000</f>
        <v>1277.838</v>
      </c>
      <c r="E6" s="101">
        <f>'Balance Sheet Input'!E7/1000</f>
        <v>2067.4540000000002</v>
      </c>
      <c r="F6" s="101">
        <f>'Balance Sheet Input'!F7/1000</f>
        <v>2263.5369999999998</v>
      </c>
      <c r="G6" s="123">
        <f>'Balance Sheet Input'!G7/1000</f>
        <v>3324.643</v>
      </c>
      <c r="H6" s="100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</row>
    <row r="7" spans="2:19" x14ac:dyDescent="0.25">
      <c r="B7" s="8" t="s">
        <v>94</v>
      </c>
      <c r="C7" s="101">
        <f>'Balance Sheet Input'!C18/1000</f>
        <v>777.94600000000003</v>
      </c>
      <c r="D7" s="101">
        <f>'Balance Sheet Input'!D18/1000</f>
        <v>916.14800000000002</v>
      </c>
      <c r="E7" s="101">
        <f>'Balance Sheet Input'!E18/1000</f>
        <v>1860.3409999999999</v>
      </c>
      <c r="F7" s="101">
        <f>'Balance Sheet Input'!F18/1000</f>
        <v>2390.25</v>
      </c>
      <c r="G7" s="123">
        <f>'Balance Sheet Input'!G18/1000</f>
        <v>3030.4929999999999</v>
      </c>
      <c r="H7" s="100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</row>
    <row r="8" spans="2:19" ht="13.8" thickBot="1" x14ac:dyDescent="0.3">
      <c r="B8" s="85" t="s">
        <v>191</v>
      </c>
      <c r="C8" s="96">
        <f>C5+C6-C7</f>
        <v>402.33299999999997</v>
      </c>
      <c r="D8" s="96">
        <f>D5+D6-D7</f>
        <v>530.65499999999986</v>
      </c>
      <c r="E8" s="96">
        <f>E5+E6-E7</f>
        <v>706.25500000000011</v>
      </c>
      <c r="F8" s="96">
        <f>F5+F6-F7</f>
        <v>388.66799999999967</v>
      </c>
      <c r="G8" s="96">
        <f>G5+G6-G7</f>
        <v>864.02399999999989</v>
      </c>
      <c r="H8" s="96"/>
      <c r="I8" s="96">
        <f t="shared" ref="I8:N8" si="0">I5+I6-I7</f>
        <v>0</v>
      </c>
      <c r="J8" s="96">
        <f t="shared" si="0"/>
        <v>0</v>
      </c>
      <c r="K8" s="96">
        <f t="shared" si="0"/>
        <v>0</v>
      </c>
      <c r="L8" s="96">
        <f t="shared" si="0"/>
        <v>0</v>
      </c>
      <c r="M8" s="96">
        <f t="shared" si="0"/>
        <v>0</v>
      </c>
      <c r="N8" s="96">
        <f t="shared" si="0"/>
        <v>0</v>
      </c>
      <c r="O8" s="96">
        <f t="shared" ref="O8:S8" si="1">O5+O6-O7</f>
        <v>0</v>
      </c>
      <c r="P8" s="96">
        <f t="shared" si="1"/>
        <v>0</v>
      </c>
      <c r="Q8" s="96">
        <f t="shared" si="1"/>
        <v>0</v>
      </c>
      <c r="R8" s="96">
        <f t="shared" si="1"/>
        <v>0</v>
      </c>
      <c r="S8" s="96">
        <f t="shared" si="1"/>
        <v>0</v>
      </c>
    </row>
    <row r="9" spans="2:19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2:19" x14ac:dyDescent="0.25">
      <c r="B10" s="77" t="s">
        <v>70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</row>
    <row r="11" spans="2:19" s="24" customFormat="1" x14ac:dyDescent="0.25">
      <c r="B11" s="61" t="s">
        <v>51</v>
      </c>
      <c r="C11" s="99">
        <f>'Balance Sheet Input'!C39</f>
        <v>25.506053735106413</v>
      </c>
      <c r="D11" s="99">
        <f>'Balance Sheet Input'!D39</f>
        <v>15.033866572747325</v>
      </c>
      <c r="E11" s="99">
        <f>'Balance Sheet Input'!E39</f>
        <v>25.66967594325364</v>
      </c>
      <c r="F11" s="99">
        <f>'Balance Sheet Input'!F39</f>
        <v>15.77864519794662</v>
      </c>
      <c r="G11" s="99">
        <f>'Balance Sheet Input'!G39</f>
        <v>13.841258823729435</v>
      </c>
      <c r="H11" s="99"/>
      <c r="I11" s="99">
        <f>AVERAGE($C11:$G11)</f>
        <v>19.165900054556683</v>
      </c>
      <c r="J11" s="99">
        <f t="shared" ref="J11:S13" si="2">AVERAGE($C11:$G11)</f>
        <v>19.165900054556683</v>
      </c>
      <c r="K11" s="99">
        <f t="shared" si="2"/>
        <v>19.165900054556683</v>
      </c>
      <c r="L11" s="99">
        <f t="shared" si="2"/>
        <v>19.165900054556683</v>
      </c>
      <c r="M11" s="99">
        <f t="shared" si="2"/>
        <v>19.165900054556683</v>
      </c>
      <c r="N11" s="99">
        <f t="shared" si="2"/>
        <v>19.165900054556683</v>
      </c>
      <c r="O11" s="99">
        <f t="shared" si="2"/>
        <v>19.165900054556683</v>
      </c>
      <c r="P11" s="99">
        <f t="shared" si="2"/>
        <v>19.165900054556683</v>
      </c>
      <c r="Q11" s="99">
        <f t="shared" si="2"/>
        <v>19.165900054556683</v>
      </c>
      <c r="R11" s="99">
        <f t="shared" si="2"/>
        <v>19.165900054556683</v>
      </c>
      <c r="S11" s="99">
        <f t="shared" si="2"/>
        <v>19.165900054556683</v>
      </c>
    </row>
    <row r="12" spans="2:19" s="24" customFormat="1" x14ac:dyDescent="0.25">
      <c r="B12" s="61" t="s">
        <v>52</v>
      </c>
      <c r="C12" s="99">
        <f>'Balance Sheet Input'!C40</f>
        <v>148.19580564470351</v>
      </c>
      <c r="D12" s="99">
        <f>'Balance Sheet Input'!D40</f>
        <v>147.32375944829212</v>
      </c>
      <c r="E12" s="99">
        <f>'Balance Sheet Input'!E40</f>
        <v>137.80793667692734</v>
      </c>
      <c r="F12" s="99">
        <f>'Balance Sheet Input'!F40</f>
        <v>85.449953986173199</v>
      </c>
      <c r="G12" s="99">
        <f>'Balance Sheet Input'!G40</f>
        <v>94.457151624032477</v>
      </c>
      <c r="H12" s="99"/>
      <c r="I12" s="99">
        <f>AVERAGE($C12:$G12)</f>
        <v>122.64692147602572</v>
      </c>
      <c r="J12" s="99">
        <f t="shared" si="2"/>
        <v>122.64692147602572</v>
      </c>
      <c r="K12" s="99">
        <f t="shared" si="2"/>
        <v>122.64692147602572</v>
      </c>
      <c r="L12" s="99">
        <f t="shared" si="2"/>
        <v>122.64692147602572</v>
      </c>
      <c r="M12" s="99">
        <f t="shared" si="2"/>
        <v>122.64692147602572</v>
      </c>
      <c r="N12" s="99">
        <f t="shared" si="2"/>
        <v>122.64692147602572</v>
      </c>
      <c r="O12" s="99">
        <f t="shared" si="2"/>
        <v>122.64692147602572</v>
      </c>
      <c r="P12" s="99">
        <f t="shared" si="2"/>
        <v>122.64692147602572</v>
      </c>
      <c r="Q12" s="99">
        <f t="shared" si="2"/>
        <v>122.64692147602572</v>
      </c>
      <c r="R12" s="99">
        <f t="shared" si="2"/>
        <v>122.64692147602572</v>
      </c>
      <c r="S12" s="99">
        <f t="shared" si="2"/>
        <v>122.64692147602572</v>
      </c>
    </row>
    <row r="13" spans="2:19" s="24" customFormat="1" x14ac:dyDescent="0.25">
      <c r="B13" s="61" t="s">
        <v>53</v>
      </c>
      <c r="C13" s="99">
        <f>'Balance Sheet Input'!C41</f>
        <v>120.88849368817945</v>
      </c>
      <c r="D13" s="99">
        <f>'Balance Sheet Input'!D41</f>
        <v>105.62400521117225</v>
      </c>
      <c r="E13" s="99">
        <f>'Balance Sheet Input'!E41</f>
        <v>124.00264031291226</v>
      </c>
      <c r="F13" s="99">
        <f>'Balance Sheet Input'!F41</f>
        <v>90.233449912879919</v>
      </c>
      <c r="G13" s="99">
        <f>'Balance Sheet Input'!G41</f>
        <v>86.099992328971581</v>
      </c>
      <c r="H13" s="99"/>
      <c r="I13" s="99">
        <f t="shared" ref="I13" si="3">AVERAGE($C13:$G13)</f>
        <v>105.36971629082309</v>
      </c>
      <c r="J13" s="99">
        <f t="shared" si="2"/>
        <v>105.36971629082309</v>
      </c>
      <c r="K13" s="99">
        <f t="shared" si="2"/>
        <v>105.36971629082309</v>
      </c>
      <c r="L13" s="99">
        <f t="shared" si="2"/>
        <v>105.36971629082309</v>
      </c>
      <c r="M13" s="99">
        <f t="shared" si="2"/>
        <v>105.36971629082309</v>
      </c>
      <c r="N13" s="99">
        <f t="shared" si="2"/>
        <v>105.36971629082309</v>
      </c>
      <c r="O13" s="99">
        <f t="shared" si="2"/>
        <v>105.36971629082309</v>
      </c>
      <c r="P13" s="99">
        <f t="shared" si="2"/>
        <v>105.36971629082309</v>
      </c>
      <c r="Q13" s="99">
        <f t="shared" si="2"/>
        <v>105.36971629082309</v>
      </c>
      <c r="R13" s="99">
        <f t="shared" si="2"/>
        <v>105.36971629082309</v>
      </c>
      <c r="S13" s="99">
        <f t="shared" si="2"/>
        <v>105.36971629082309</v>
      </c>
    </row>
    <row r="14" spans="2:19" x14ac:dyDescent="0.25">
      <c r="B14" s="109" t="s">
        <v>191</v>
      </c>
      <c r="C14" s="99">
        <f>C11+C12-C13</f>
        <v>52.813365691630466</v>
      </c>
      <c r="D14" s="99">
        <f>D11+D12-D13</f>
        <v>56.73362080986719</v>
      </c>
      <c r="E14" s="99">
        <f>E11+E12-E13</f>
        <v>39.474972307268729</v>
      </c>
      <c r="F14" s="99">
        <f>F11+F12-F13</f>
        <v>10.995149271239896</v>
      </c>
      <c r="G14" s="99">
        <f>G11+G12-G13</f>
        <v>22.198418118790329</v>
      </c>
      <c r="H14" s="99"/>
      <c r="I14" s="99">
        <f>I11+I12-I13</f>
        <v>36.443105239759305</v>
      </c>
      <c r="J14" s="99">
        <f>J11+J12-J13</f>
        <v>36.443105239759305</v>
      </c>
      <c r="K14" s="99">
        <f>K11+K12-K13</f>
        <v>36.443105239759305</v>
      </c>
      <c r="L14" s="99">
        <f t="shared" ref="L14:S14" si="4">L11+L12-L13</f>
        <v>36.443105239759305</v>
      </c>
      <c r="M14" s="99">
        <f t="shared" si="4"/>
        <v>36.443105239759305</v>
      </c>
      <c r="N14" s="99">
        <f t="shared" si="4"/>
        <v>36.443105239759305</v>
      </c>
      <c r="O14" s="99">
        <f t="shared" si="4"/>
        <v>36.443105239759305</v>
      </c>
      <c r="P14" s="99">
        <f t="shared" si="4"/>
        <v>36.443105239759305</v>
      </c>
      <c r="Q14" s="99">
        <f t="shared" si="4"/>
        <v>36.443105239759305</v>
      </c>
      <c r="R14" s="99">
        <f t="shared" si="4"/>
        <v>36.443105239759305</v>
      </c>
      <c r="S14" s="99">
        <f t="shared" si="4"/>
        <v>36.443105239759305</v>
      </c>
    </row>
  </sheetData>
  <mergeCells count="1">
    <mergeCell ref="C3:S3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2060"/>
  </sheetPr>
  <dimension ref="B14"/>
  <sheetViews>
    <sheetView workbookViewId="0">
      <selection activeCell="B1" sqref="B1"/>
    </sheetView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68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S18"/>
  <sheetViews>
    <sheetView tabSelected="1" workbookViewId="0">
      <selection activeCell="B1" sqref="B1"/>
    </sheetView>
  </sheetViews>
  <sheetFormatPr defaultColWidth="9.109375" defaultRowHeight="13.2" x14ac:dyDescent="0.25"/>
  <cols>
    <col min="1" max="1" width="2" style="18" customWidth="1"/>
    <col min="2" max="2" width="22.44140625" style="18" bestFit="1" customWidth="1"/>
    <col min="3" max="14" width="9.77734375" style="18" customWidth="1"/>
    <col min="15" max="16384" width="9.109375" style="18"/>
  </cols>
  <sheetData>
    <row r="1" spans="2:19" ht="15.6" x14ac:dyDescent="0.3">
      <c r="B1" s="17" t="s">
        <v>97</v>
      </c>
      <c r="C1" s="17"/>
    </row>
    <row r="3" spans="2:19" x14ac:dyDescent="0.25">
      <c r="C3" s="136" t="s">
        <v>196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4" spans="2:19" ht="24" x14ac:dyDescent="0.25">
      <c r="B4" s="5" t="s">
        <v>197</v>
      </c>
      <c r="C4" s="6" t="s">
        <v>45</v>
      </c>
      <c r="D4" s="6" t="s">
        <v>46</v>
      </c>
      <c r="E4" s="6" t="s">
        <v>47</v>
      </c>
      <c r="F4" s="6" t="s">
        <v>107</v>
      </c>
      <c r="G4" s="6" t="s">
        <v>115</v>
      </c>
      <c r="H4" s="67" t="s">
        <v>126</v>
      </c>
      <c r="I4" s="67" t="s">
        <v>125</v>
      </c>
      <c r="J4" s="67" t="s">
        <v>127</v>
      </c>
      <c r="K4" s="67" t="s">
        <v>128</v>
      </c>
      <c r="L4" s="67" t="s">
        <v>129</v>
      </c>
      <c r="M4" s="67" t="s">
        <v>130</v>
      </c>
      <c r="N4" s="67" t="s">
        <v>131</v>
      </c>
      <c r="O4" s="67" t="s">
        <v>204</v>
      </c>
      <c r="P4" s="67" t="s">
        <v>205</v>
      </c>
      <c r="Q4" s="67" t="s">
        <v>206</v>
      </c>
      <c r="R4" s="67" t="s">
        <v>207</v>
      </c>
      <c r="S4" s="67" t="s">
        <v>208</v>
      </c>
    </row>
    <row r="5" spans="2:19" x14ac:dyDescent="0.25">
      <c r="B5" s="23" t="s">
        <v>100</v>
      </c>
      <c r="C5" s="111"/>
      <c r="D5" s="111"/>
      <c r="E5" s="111"/>
      <c r="F5" s="111"/>
      <c r="G5" s="13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</row>
    <row r="6" spans="2:19" x14ac:dyDescent="0.25">
      <c r="B6" s="23" t="s">
        <v>95</v>
      </c>
      <c r="C6" s="111"/>
      <c r="D6" s="111"/>
      <c r="E6" s="111"/>
      <c r="F6" s="111"/>
      <c r="G6" s="13"/>
      <c r="H6" s="120"/>
      <c r="I6" s="112"/>
      <c r="J6" s="120"/>
      <c r="K6" s="120"/>
      <c r="L6" s="120"/>
      <c r="M6" s="120"/>
      <c r="N6" s="120"/>
      <c r="O6" s="120"/>
      <c r="P6" s="120"/>
      <c r="Q6" s="120"/>
      <c r="R6" s="120"/>
      <c r="S6" s="120"/>
    </row>
    <row r="7" spans="2:19" x14ac:dyDescent="0.25">
      <c r="B7" s="26" t="s">
        <v>1</v>
      </c>
      <c r="C7" s="113"/>
      <c r="D7" s="113"/>
      <c r="E7" s="113"/>
      <c r="F7" s="113"/>
      <c r="G7" s="12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</row>
    <row r="8" spans="2:19" x14ac:dyDescent="0.25">
      <c r="B8" s="23" t="s">
        <v>101</v>
      </c>
      <c r="C8" s="111"/>
      <c r="D8" s="111"/>
      <c r="E8" s="111"/>
      <c r="F8" s="111"/>
      <c r="G8" s="13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</row>
    <row r="9" spans="2:19" x14ac:dyDescent="0.25">
      <c r="B9" s="26" t="s">
        <v>43</v>
      </c>
      <c r="C9" s="113"/>
      <c r="D9" s="115"/>
      <c r="E9" s="115"/>
      <c r="F9" s="115"/>
      <c r="G9" s="12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</row>
    <row r="10" spans="2:19" x14ac:dyDescent="0.25">
      <c r="B10" s="23" t="s">
        <v>102</v>
      </c>
      <c r="C10" s="111"/>
      <c r="D10" s="111"/>
      <c r="E10" s="111"/>
      <c r="F10" s="111"/>
      <c r="G10" s="13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</row>
    <row r="11" spans="2:19" x14ac:dyDescent="0.25">
      <c r="B11" s="26" t="s">
        <v>44</v>
      </c>
      <c r="C11" s="115"/>
      <c r="D11" s="115"/>
      <c r="E11" s="115"/>
      <c r="F11" s="115"/>
      <c r="G11" s="115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</row>
    <row r="12" spans="2:19" x14ac:dyDescent="0.25">
      <c r="B12" s="23" t="s">
        <v>98</v>
      </c>
      <c r="C12" s="111"/>
      <c r="D12" s="111"/>
      <c r="E12" s="111"/>
      <c r="F12" s="111"/>
      <c r="G12" s="111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</row>
    <row r="13" spans="2:19" x14ac:dyDescent="0.25">
      <c r="B13" s="23" t="s">
        <v>200</v>
      </c>
      <c r="C13" s="111"/>
      <c r="D13" s="111"/>
      <c r="E13" s="111"/>
      <c r="F13" s="111"/>
      <c r="G13" s="111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</row>
    <row r="14" spans="2:19" ht="13.8" thickBot="1" x14ac:dyDescent="0.3">
      <c r="B14" s="85" t="s">
        <v>99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</row>
    <row r="15" spans="2:19" x14ac:dyDescent="0.25">
      <c r="C15" s="27"/>
    </row>
    <row r="16" spans="2:19" x14ac:dyDescent="0.25">
      <c r="B16" s="119" t="s">
        <v>104</v>
      </c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</row>
    <row r="17" spans="2:19" x14ac:dyDescent="0.25">
      <c r="B17" s="118" t="s">
        <v>199</v>
      </c>
      <c r="C17" s="125"/>
      <c r="D17" s="125"/>
      <c r="E17" s="125"/>
      <c r="F17" s="125"/>
      <c r="G17" s="125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</row>
    <row r="18" spans="2:19" x14ac:dyDescent="0.25">
      <c r="B18" s="118" t="s">
        <v>76</v>
      </c>
      <c r="C18" s="126"/>
      <c r="D18" s="126"/>
      <c r="E18" s="126"/>
      <c r="F18" s="126"/>
      <c r="G18" s="126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</row>
  </sheetData>
  <mergeCells count="1">
    <mergeCell ref="C3:S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Cover</vt:lpstr>
      <vt:lpstr>Drivers</vt:lpstr>
      <vt:lpstr>Input --&gt;</vt:lpstr>
      <vt:lpstr>P&amp;L Input</vt:lpstr>
      <vt:lpstr>Balance Sheet Input</vt:lpstr>
      <vt:lpstr>Workings --&gt;</vt:lpstr>
      <vt:lpstr>Income Statement items</vt:lpstr>
      <vt:lpstr>Automotive</vt:lpstr>
      <vt:lpstr>Deliveries</vt:lpstr>
      <vt:lpstr>Deliveries development</vt:lpstr>
      <vt:lpstr>Deliveries comparables</vt:lpstr>
      <vt:lpstr>Revenue automotive</vt:lpstr>
      <vt:lpstr>GP% automotive</vt:lpstr>
      <vt:lpstr>GP automotive</vt:lpstr>
      <vt:lpstr>Cost of sales automotive</vt:lpstr>
      <vt:lpstr>Revenue &amp; GP autom</vt:lpstr>
      <vt:lpstr>Energy &amp; Other</vt:lpstr>
      <vt:lpstr>Revenue Energy &amp; Other</vt:lpstr>
      <vt:lpstr>GP Energy &amp; Other</vt:lpstr>
      <vt:lpstr>Cost of sales Energy &amp; Other</vt:lpstr>
      <vt:lpstr>Operating expenses</vt:lpstr>
      <vt:lpstr>Opex comparables</vt:lpstr>
      <vt:lpstr>Opex</vt:lpstr>
      <vt:lpstr>Balance Sheet --&gt;</vt:lpstr>
      <vt:lpstr>PP&amp;E --&gt;</vt:lpstr>
      <vt:lpstr>PP&amp;E</vt:lpstr>
      <vt:lpstr>PP&amp;E Comparables</vt:lpstr>
      <vt:lpstr>Working Capital --&gt; </vt:lpstr>
      <vt:lpstr>WC comparables</vt:lpstr>
      <vt:lpstr>Working capital</vt:lpstr>
      <vt:lpstr>Output --&gt;</vt:lpstr>
      <vt:lpstr>P&amp;L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NewPC</dc:creator>
  <cp:lastModifiedBy>Ned</cp:lastModifiedBy>
  <dcterms:created xsi:type="dcterms:W3CDTF">2017-12-26T16:16:22Z</dcterms:created>
  <dcterms:modified xsi:type="dcterms:W3CDTF">2018-11-09T13:31:01Z</dcterms:modified>
</cp:coreProperties>
</file>