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xr:revisionPtr revIDLastSave="0" documentId="13_ncr:1_{85F638C1-B55B-418B-9A9D-871AEED53293}" xr6:coauthVersionLast="47" xr6:coauthVersionMax="47" xr10:uidLastSave="{00000000-0000-0000-0000-000000000000}"/>
  <bookViews>
    <workbookView xWindow="25490" yWindow="-110" windowWidth="19420" windowHeight="10420" tabRatio="838" activeTab="3" xr2:uid="{00000000-000D-0000-FFFF-FFFF00000000}"/>
  </bookViews>
  <sheets>
    <sheet name="说明" sheetId="15" r:id="rId1"/>
    <sheet name="第一部分 Excel函数 " sheetId="16" r:id="rId2"/>
    <sheet name="第二部分 Apple Valuation Case" sheetId="6" r:id="rId3"/>
    <sheet name="第二部分 答题区" sheetId="14" r:id="rId4"/>
    <sheet name="第二部分 Financials" sheetId="8" r:id="rId5"/>
    <sheet name="第二部分 Ratios" sheetId="9" r:id="rId6"/>
    <sheet name="第二部分 Debt" sheetId="10" r:id="rId7"/>
    <sheet name="第二部分 Beta" sheetId="11" r:id="rId8"/>
    <sheet name="第二部分 Peers" sheetId="12" r:id="rId9"/>
    <sheet name="第二部分 Forecasts" sheetId="13" r:id="rId10"/>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0" i="16" l="1"/>
  <c r="F140" i="16" s="1"/>
  <c r="H115" i="16"/>
  <c r="I115" i="16" s="1"/>
  <c r="J34" i="16"/>
  <c r="J33" i="16"/>
  <c r="J32" i="16"/>
  <c r="J31" i="16"/>
  <c r="J30" i="16"/>
  <c r="J29" i="16"/>
  <c r="J28" i="16"/>
  <c r="J27" i="16"/>
  <c r="J26" i="16"/>
  <c r="J25" i="16"/>
  <c r="J24" i="16"/>
  <c r="J23" i="16"/>
  <c r="J22" i="16"/>
  <c r="J21" i="16"/>
  <c r="J20" i="16"/>
  <c r="J19" i="16"/>
  <c r="J18" i="16"/>
  <c r="J17" i="16"/>
  <c r="J16" i="16"/>
  <c r="J15" i="16"/>
  <c r="J14" i="16"/>
  <c r="J13" i="16"/>
  <c r="J12" i="16"/>
  <c r="J11" i="16"/>
  <c r="J10" i="16"/>
  <c r="J9" i="16"/>
  <c r="J8" i="16"/>
  <c r="G140" i="16" l="1"/>
  <c r="J115" i="16"/>
  <c r="K115" i="16" s="1"/>
  <c r="H140" i="16" l="1"/>
  <c r="G10" i="13" l="1"/>
  <c r="F10" i="13"/>
  <c r="E10" i="13"/>
  <c r="D10" i="13"/>
  <c r="C10" i="13"/>
  <c r="G9" i="13"/>
  <c r="F9" i="13"/>
  <c r="E9" i="13"/>
  <c r="D9" i="13"/>
  <c r="G8" i="13"/>
  <c r="F8" i="13"/>
  <c r="E8" i="13"/>
  <c r="D8" i="13"/>
  <c r="B5" i="13"/>
  <c r="C8" i="13" s="1"/>
  <c r="P17" i="10"/>
  <c r="O13" i="10"/>
  <c r="P13" i="10" s="1"/>
  <c r="M13" i="10"/>
  <c r="Q13" i="10" s="1"/>
  <c r="R13" i="10" s="1"/>
  <c r="L13" i="10"/>
  <c r="O12" i="10"/>
  <c r="P12" i="10" s="1"/>
  <c r="M12" i="10"/>
  <c r="Q12" i="10" s="1"/>
  <c r="R12" i="10" s="1"/>
  <c r="L12" i="10"/>
  <c r="O11" i="10"/>
  <c r="P11" i="10" s="1"/>
  <c r="M11" i="10"/>
  <c r="Q11" i="10" s="1"/>
  <c r="R11" i="10" s="1"/>
  <c r="L11" i="10"/>
  <c r="O10" i="10"/>
  <c r="P10" i="10" s="1"/>
  <c r="M10" i="10"/>
  <c r="Q10" i="10" s="1"/>
  <c r="R10" i="10" s="1"/>
  <c r="L10" i="10"/>
  <c r="O9" i="10"/>
  <c r="P9" i="10" s="1"/>
  <c r="M9" i="10"/>
  <c r="Q9" i="10" s="1"/>
  <c r="R9" i="10" s="1"/>
  <c r="L9" i="10"/>
  <c r="O8" i="10"/>
  <c r="P8" i="10" s="1"/>
  <c r="M8" i="10"/>
  <c r="Q8" i="10" s="1"/>
  <c r="R8" i="10" s="1"/>
  <c r="L8" i="10"/>
  <c r="O7" i="10"/>
  <c r="M7" i="10"/>
  <c r="Q7" i="10" s="1"/>
  <c r="R7" i="10" s="1"/>
  <c r="L7" i="10"/>
  <c r="O6" i="10"/>
  <c r="M6" i="10"/>
  <c r="Q6" i="10" s="1"/>
  <c r="R6" i="10" s="1"/>
  <c r="L6" i="10"/>
  <c r="O5" i="10"/>
  <c r="P5" i="10" s="1"/>
  <c r="M5" i="10"/>
  <c r="Q5" i="10" s="1"/>
  <c r="R5" i="10" s="1"/>
  <c r="L5" i="10"/>
  <c r="O4" i="10"/>
  <c r="M4" i="10"/>
  <c r="Q4" i="10" s="1"/>
  <c r="R4" i="10" s="1"/>
  <c r="L4" i="10"/>
  <c r="H51" i="9"/>
  <c r="G51" i="9"/>
  <c r="F51" i="9"/>
  <c r="E51" i="9"/>
  <c r="D51" i="9"/>
  <c r="C51" i="9"/>
  <c r="B51" i="9"/>
  <c r="H50" i="9"/>
  <c r="G50" i="9"/>
  <c r="F50" i="9"/>
  <c r="E50" i="9"/>
  <c r="D50" i="9"/>
  <c r="I50" i="9" s="1"/>
  <c r="C50" i="9"/>
  <c r="B50" i="9"/>
  <c r="H47" i="9"/>
  <c r="G47" i="9"/>
  <c r="F47" i="9"/>
  <c r="E47" i="9"/>
  <c r="D47" i="9"/>
  <c r="I47" i="9" s="1"/>
  <c r="C47" i="9"/>
  <c r="B47" i="9"/>
  <c r="H46" i="9"/>
  <c r="G46" i="9"/>
  <c r="F46" i="9"/>
  <c r="E46" i="9"/>
  <c r="D46" i="9"/>
  <c r="I46" i="9" s="1"/>
  <c r="C46" i="9"/>
  <c r="B46" i="9"/>
  <c r="H45" i="9"/>
  <c r="G45" i="9"/>
  <c r="F45" i="9"/>
  <c r="E45" i="9"/>
  <c r="D45" i="9"/>
  <c r="C45" i="9"/>
  <c r="B45" i="9"/>
  <c r="F41" i="9"/>
  <c r="H40" i="9"/>
  <c r="G40" i="9"/>
  <c r="F40" i="9"/>
  <c r="E40" i="9"/>
  <c r="D40" i="9"/>
  <c r="C40" i="9"/>
  <c r="B40" i="9"/>
  <c r="H39" i="9"/>
  <c r="G39" i="9"/>
  <c r="F39" i="9"/>
  <c r="E39" i="9"/>
  <c r="D39" i="9"/>
  <c r="C39" i="9"/>
  <c r="B39" i="9"/>
  <c r="H38" i="9"/>
  <c r="G38" i="9"/>
  <c r="F38" i="9"/>
  <c r="E38" i="9"/>
  <c r="D38" i="9"/>
  <c r="C38" i="9"/>
  <c r="B38" i="9"/>
  <c r="H36" i="9"/>
  <c r="G36" i="9"/>
  <c r="F36" i="9"/>
  <c r="E36" i="9"/>
  <c r="D36" i="9"/>
  <c r="C36" i="9"/>
  <c r="B36" i="9"/>
  <c r="H35" i="9"/>
  <c r="G35" i="9"/>
  <c r="F35" i="9"/>
  <c r="E35" i="9"/>
  <c r="D35" i="9"/>
  <c r="C35" i="9"/>
  <c r="B35" i="9"/>
  <c r="H34" i="9"/>
  <c r="G34" i="9"/>
  <c r="F34" i="9"/>
  <c r="E34" i="9"/>
  <c r="D34" i="9"/>
  <c r="C34" i="9"/>
  <c r="B34" i="9"/>
  <c r="H27" i="9"/>
  <c r="B8" i="13" s="1"/>
  <c r="G27" i="9"/>
  <c r="F27" i="9"/>
  <c r="E27" i="9"/>
  <c r="D27" i="9"/>
  <c r="C27" i="9"/>
  <c r="B15" i="9"/>
  <c r="H14" i="9"/>
  <c r="G14" i="9"/>
  <c r="F14" i="9"/>
  <c r="E14" i="9"/>
  <c r="D14" i="9"/>
  <c r="C14" i="9"/>
  <c r="B14" i="9"/>
  <c r="H13" i="9"/>
  <c r="C12" i="9"/>
  <c r="B12" i="9"/>
  <c r="H8" i="9"/>
  <c r="G8" i="9"/>
  <c r="F8" i="9"/>
  <c r="E8" i="9"/>
  <c r="D8" i="9"/>
  <c r="C8" i="9"/>
  <c r="B8" i="9"/>
  <c r="H7" i="9"/>
  <c r="G7" i="9"/>
  <c r="F7" i="9"/>
  <c r="E7" i="9"/>
  <c r="D7" i="9"/>
  <c r="C7" i="9"/>
  <c r="B7" i="9"/>
  <c r="H6" i="9"/>
  <c r="G6" i="9"/>
  <c r="F6" i="9"/>
  <c r="E6" i="9"/>
  <c r="D6" i="9"/>
  <c r="C6" i="9"/>
  <c r="B6" i="9"/>
  <c r="H48" i="8"/>
  <c r="G48" i="8"/>
  <c r="G13" i="9" s="1"/>
  <c r="F48" i="8"/>
  <c r="F13" i="9" s="1"/>
  <c r="E48" i="8"/>
  <c r="E13" i="9" s="1"/>
  <c r="D48" i="8"/>
  <c r="D13" i="9" s="1"/>
  <c r="C48" i="8"/>
  <c r="C13" i="9" s="1"/>
  <c r="B48" i="8"/>
  <c r="B13" i="9" s="1"/>
  <c r="E44" i="8"/>
  <c r="H40" i="8"/>
  <c r="H44" i="8" s="1"/>
  <c r="G40" i="8"/>
  <c r="G2" i="9" s="1"/>
  <c r="F40" i="8"/>
  <c r="F44" i="8" s="1"/>
  <c r="F49" i="8" s="1"/>
  <c r="E40" i="8"/>
  <c r="D40" i="8"/>
  <c r="D44" i="8" s="1"/>
  <c r="C40" i="8"/>
  <c r="C2" i="9" s="1"/>
  <c r="B40" i="8"/>
  <c r="B44" i="8" s="1"/>
  <c r="B49" i="8" s="1"/>
  <c r="G32" i="8"/>
  <c r="E32" i="8"/>
  <c r="C32" i="8"/>
  <c r="C31" i="9" s="1"/>
  <c r="H26" i="8"/>
  <c r="H32" i="8" s="1"/>
  <c r="H3" i="9" s="1"/>
  <c r="G26" i="8"/>
  <c r="F26" i="8"/>
  <c r="F32" i="8" s="1"/>
  <c r="E26" i="8"/>
  <c r="E2" i="9" s="1"/>
  <c r="D26" i="8"/>
  <c r="D32" i="8" s="1"/>
  <c r="C26" i="8"/>
  <c r="B26" i="8"/>
  <c r="B32" i="8" s="1"/>
  <c r="B24" i="9" s="1"/>
  <c r="G10" i="8"/>
  <c r="H7" i="8"/>
  <c r="H10" i="8" s="1"/>
  <c r="G7" i="8"/>
  <c r="F7" i="8"/>
  <c r="F10" i="8" s="1"/>
  <c r="F12" i="9" s="1"/>
  <c r="E7" i="8"/>
  <c r="E10" i="8" s="1"/>
  <c r="D7" i="8"/>
  <c r="D10" i="8" s="1"/>
  <c r="C7" i="8"/>
  <c r="C10" i="8" s="1"/>
  <c r="B7" i="8"/>
  <c r="B10" i="8" s="1"/>
  <c r="B48" i="9" s="1"/>
  <c r="B41" i="9" l="1"/>
  <c r="B14" i="8"/>
  <c r="B16" i="8" s="1"/>
  <c r="B22" i="9" s="1"/>
  <c r="E9" i="9"/>
  <c r="F9" i="9"/>
  <c r="B20" i="9"/>
  <c r="F37" i="9"/>
  <c r="D29" i="9"/>
  <c r="H2" i="9"/>
  <c r="B23" i="9"/>
  <c r="F28" i="9"/>
  <c r="C41" i="9"/>
  <c r="D41" i="9"/>
  <c r="D31" i="9"/>
  <c r="B3" i="9"/>
  <c r="B37" i="9"/>
  <c r="B42" i="9" s="1"/>
  <c r="B49" i="9" s="1"/>
  <c r="P6" i="10"/>
  <c r="B21" i="9"/>
  <c r="F31" i="9"/>
  <c r="I13" i="9"/>
  <c r="P4" i="10"/>
  <c r="I27" i="9"/>
  <c r="G41" i="9"/>
  <c r="H41" i="9"/>
  <c r="I51" i="9"/>
  <c r="P7" i="10"/>
  <c r="P16" i="10"/>
  <c r="P18" i="10" s="1"/>
  <c r="G9" i="9"/>
  <c r="I45" i="9"/>
  <c r="I8" i="9"/>
  <c r="C37" i="9"/>
  <c r="C42" i="9" s="1"/>
  <c r="C49" i="9" s="1"/>
  <c r="D37" i="9"/>
  <c r="D42" i="9" s="1"/>
  <c r="D49" i="9" s="1"/>
  <c r="B9" i="9"/>
  <c r="C9" i="9"/>
  <c r="E41" i="9"/>
  <c r="H9" i="9"/>
  <c r="G37" i="9"/>
  <c r="H37" i="9"/>
  <c r="C44" i="8"/>
  <c r="C49" i="8" s="1"/>
  <c r="G44" i="8"/>
  <c r="G49" i="8" s="1"/>
  <c r="E49" i="8"/>
  <c r="H29" i="9"/>
  <c r="B6" i="13"/>
  <c r="G24" i="9"/>
  <c r="G23" i="9"/>
  <c r="G3" i="9"/>
  <c r="D15" i="9"/>
  <c r="H28" i="9"/>
  <c r="B9" i="13" s="1"/>
  <c r="F48" i="9"/>
  <c r="F29" i="9"/>
  <c r="E21" i="9"/>
  <c r="E20" i="9"/>
  <c r="E15" i="9"/>
  <c r="E12" i="9"/>
  <c r="E14" i="8"/>
  <c r="E16" i="8" s="1"/>
  <c r="E48" i="9"/>
  <c r="E28" i="9"/>
  <c r="F14" i="8"/>
  <c r="F16" i="8" s="1"/>
  <c r="C24" i="9"/>
  <c r="C23" i="9"/>
  <c r="C3" i="9"/>
  <c r="D2" i="9"/>
  <c r="D3" i="9"/>
  <c r="I7" i="9"/>
  <c r="H12" i="9"/>
  <c r="F15" i="9"/>
  <c r="F20" i="9"/>
  <c r="F21" i="9"/>
  <c r="F23" i="9"/>
  <c r="F24" i="9"/>
  <c r="E29" i="9"/>
  <c r="G31" i="9"/>
  <c r="E37" i="9"/>
  <c r="B18" i="9"/>
  <c r="C48" i="9"/>
  <c r="C28" i="9"/>
  <c r="C29" i="9"/>
  <c r="C21" i="9"/>
  <c r="C20" i="9"/>
  <c r="C15" i="9"/>
  <c r="C14" i="8"/>
  <c r="C16" i="8" s="1"/>
  <c r="D14" i="8"/>
  <c r="D16" i="8" s="1"/>
  <c r="H31" i="9"/>
  <c r="B2" i="9"/>
  <c r="D20" i="9"/>
  <c r="D21" i="9"/>
  <c r="D23" i="9"/>
  <c r="D24" i="9"/>
  <c r="F42" i="9"/>
  <c r="F49" i="9" s="1"/>
  <c r="H48" i="9"/>
  <c r="G48" i="9"/>
  <c r="G28" i="9"/>
  <c r="G29" i="9"/>
  <c r="G21" i="9"/>
  <c r="G20" i="9"/>
  <c r="G15" i="9"/>
  <c r="G12" i="9"/>
  <c r="G14" i="8"/>
  <c r="G16" i="8" s="1"/>
  <c r="H14" i="8"/>
  <c r="H16" i="8" s="1"/>
  <c r="E24" i="9"/>
  <c r="E23" i="9"/>
  <c r="E3" i="9"/>
  <c r="E31" i="9"/>
  <c r="I31" i="9" s="1"/>
  <c r="D49" i="8"/>
  <c r="H49" i="8"/>
  <c r="F2" i="9"/>
  <c r="F3" i="9"/>
  <c r="I6" i="9"/>
  <c r="D9" i="9"/>
  <c r="I9" i="9" s="1"/>
  <c r="I14" i="9"/>
  <c r="H15" i="9"/>
  <c r="H20" i="9"/>
  <c r="H21" i="9"/>
  <c r="H23" i="9"/>
  <c r="H24" i="9"/>
  <c r="D28" i="9"/>
  <c r="D12" i="9"/>
  <c r="B19" i="9"/>
  <c r="D48" i="9"/>
  <c r="H42" i="9" l="1"/>
  <c r="H49" i="9" s="1"/>
  <c r="G42" i="9"/>
  <c r="G49" i="9" s="1"/>
  <c r="E42" i="9"/>
  <c r="E49" i="9" s="1"/>
  <c r="I49" i="9" s="1"/>
  <c r="I29" i="9"/>
  <c r="I28" i="9"/>
  <c r="G30" i="9"/>
  <c r="G22" i="9"/>
  <c r="G19" i="9"/>
  <c r="G18" i="9"/>
  <c r="F30" i="9"/>
  <c r="F22" i="9"/>
  <c r="F19" i="9"/>
  <c r="F18" i="9"/>
  <c r="B10" i="13"/>
  <c r="C9" i="13"/>
  <c r="I12" i="9"/>
  <c r="I20" i="9"/>
  <c r="C30" i="9"/>
  <c r="C22" i="9"/>
  <c r="C19" i="9"/>
  <c r="C18" i="9"/>
  <c r="I21" i="9"/>
  <c r="I24" i="9"/>
  <c r="D30" i="9"/>
  <c r="D18" i="9"/>
  <c r="D22" i="9"/>
  <c r="D19" i="9"/>
  <c r="I2" i="9"/>
  <c r="I48" i="9"/>
  <c r="H30" i="9"/>
  <c r="H22" i="9"/>
  <c r="H19" i="9"/>
  <c r="H18" i="9"/>
  <c r="I23" i="9"/>
  <c r="I3" i="9"/>
  <c r="E30" i="9"/>
  <c r="E22" i="9"/>
  <c r="E19" i="9"/>
  <c r="E18" i="9"/>
  <c r="I15" i="9"/>
  <c r="I18" i="9" l="1"/>
  <c r="I30" i="9"/>
  <c r="I19" i="9"/>
  <c r="I22" i="9"/>
</calcChain>
</file>

<file path=xl/sharedStrings.xml><?xml version="1.0" encoding="utf-8"?>
<sst xmlns="http://schemas.openxmlformats.org/spreadsheetml/2006/main" count="451" uniqueCount="353">
  <si>
    <t>2019E</t>
  </si>
  <si>
    <t>2020E</t>
  </si>
  <si>
    <t>DPI</t>
  </si>
  <si>
    <t>2021E</t>
  </si>
  <si>
    <t>2022E</t>
  </si>
  <si>
    <t>2023E</t>
  </si>
  <si>
    <t>2024E</t>
  </si>
  <si>
    <t>Paid-in</t>
    <phoneticPr fontId="1" type="noConversion"/>
  </si>
  <si>
    <t>TVPI</t>
    <phoneticPr fontId="1" type="noConversion"/>
  </si>
  <si>
    <t>准入测试</t>
    <phoneticPr fontId="1" type="noConversion"/>
  </si>
  <si>
    <t>投资成本（亿元）</t>
    <phoneticPr fontId="1" type="noConversion"/>
  </si>
  <si>
    <t>APPLE</t>
  </si>
  <si>
    <t>INCOME STATEMENT (Million USD)</t>
  </si>
  <si>
    <t>Revenue</t>
  </si>
  <si>
    <t>Cost of Good Sold</t>
  </si>
  <si>
    <t>Gross Profit</t>
  </si>
  <si>
    <t>Selling General &amp; Admin Exp.</t>
  </si>
  <si>
    <t>Research &amp; Development Expense</t>
  </si>
  <si>
    <t>Operating Income</t>
  </si>
  <si>
    <t>Interest Income</t>
  </si>
  <si>
    <t>Interest Expense</t>
  </si>
  <si>
    <t>Other expenses, net</t>
  </si>
  <si>
    <t>Income Before Taxes</t>
  </si>
  <si>
    <t>Income Tax</t>
  </si>
  <si>
    <t xml:space="preserve">  Net Income</t>
  </si>
  <si>
    <t>BALANCE SHEET (Million USD)</t>
  </si>
  <si>
    <t>Cash &amp; equivalents</t>
  </si>
  <si>
    <t>Short term marektable securities</t>
  </si>
  <si>
    <t>Accounts Receivables</t>
  </si>
  <si>
    <t>Inventory</t>
  </si>
  <si>
    <t>Deferred tax assets</t>
  </si>
  <si>
    <t>Other Current Assets</t>
  </si>
  <si>
    <t xml:space="preserve">  Total Current Assets</t>
  </si>
  <si>
    <t>Net Property, Plant &amp; Equipment</t>
  </si>
  <si>
    <t>Long-term marketable securities</t>
  </si>
  <si>
    <t>Goodwill</t>
  </si>
  <si>
    <t>Acquired Intangible Assets</t>
  </si>
  <si>
    <t>Other LT Assets</t>
  </si>
  <si>
    <t>Total Assets</t>
  </si>
  <si>
    <t>Accounts Payable</t>
  </si>
  <si>
    <t>Accrued Expenses</t>
  </si>
  <si>
    <t>Deferred Revenues</t>
  </si>
  <si>
    <t>Commercial Paper</t>
  </si>
  <si>
    <t>Current Portion of LT Debt</t>
  </si>
  <si>
    <t xml:space="preserve">  Total Current Liabilities</t>
  </si>
  <si>
    <t>Deferred Revenue - non-current</t>
  </si>
  <si>
    <t>Long-Term Debt</t>
  </si>
  <si>
    <t>Other Non-Current Liabilities</t>
  </si>
  <si>
    <t>Total Liabilities</t>
  </si>
  <si>
    <t>Common Stock &amp; Paid In Capital</t>
  </si>
  <si>
    <t>Retained Earnings</t>
  </si>
  <si>
    <t>Accumulated other comprehensive income (loss)</t>
  </si>
  <si>
    <t xml:space="preserve">  Total Common Equity</t>
  </si>
  <si>
    <t>Total Liabilities And Equity</t>
  </si>
  <si>
    <t>ITEMS FROM STATEMENT OF CASH FLOWS (Million USD)</t>
  </si>
  <si>
    <t>Depreciation and amortization</t>
  </si>
  <si>
    <t>Capital Expenditures</t>
  </si>
  <si>
    <t>OTHER ITEMS (Millions except share price)</t>
  </si>
  <si>
    <t>Total Shares Outstanding</t>
  </si>
  <si>
    <t xml:space="preserve">Share Price </t>
  </si>
  <si>
    <t>LIQUIDITY</t>
  </si>
  <si>
    <t>AVERAGE</t>
  </si>
  <si>
    <t>Current Ratio</t>
  </si>
  <si>
    <t>Cash &amp; Securities / Assets</t>
  </si>
  <si>
    <t>EFFICIENCY</t>
  </si>
  <si>
    <t>Days of Receivables</t>
  </si>
  <si>
    <t>Days of Inventory</t>
  </si>
  <si>
    <t>Days of Payables</t>
  </si>
  <si>
    <t>Cash Conversion Cycle</t>
  </si>
  <si>
    <t>CAPACITY / LEVERAGE</t>
  </si>
  <si>
    <t>EBIT interest coverage</t>
  </si>
  <si>
    <t>Debt / Capital (book)</t>
  </si>
  <si>
    <t>Debt / Capital (market)</t>
  </si>
  <si>
    <t>Gross Debt / EBITDA</t>
  </si>
  <si>
    <t>PROFITABILITY</t>
  </si>
  <si>
    <t>ROE</t>
  </si>
  <si>
    <t>ROA</t>
  </si>
  <si>
    <t xml:space="preserve">Return on Capital * </t>
  </si>
  <si>
    <t>Return on Market Capital **</t>
  </si>
  <si>
    <t>Net income/ sales</t>
  </si>
  <si>
    <t>sales / assets</t>
  </si>
  <si>
    <t>Assets / Equity</t>
  </si>
  <si>
    <t>GROWTH</t>
  </si>
  <si>
    <t>Sales</t>
  </si>
  <si>
    <t>EBIT</t>
  </si>
  <si>
    <t>EBITDA</t>
  </si>
  <si>
    <t>Net Income</t>
  </si>
  <si>
    <t>Assets</t>
  </si>
  <si>
    <t>NET WORKING CAPITAL</t>
  </si>
  <si>
    <t>Other current assets</t>
  </si>
  <si>
    <t>Non-cash current assets</t>
  </si>
  <si>
    <t>Deferred Revenue</t>
  </si>
  <si>
    <t>Non-interest Current liabilities</t>
  </si>
  <si>
    <t>Net Working Capital</t>
  </si>
  <si>
    <t>PERCENT OF SALES</t>
  </si>
  <si>
    <t>Reserch and Development</t>
  </si>
  <si>
    <t>Operating Income (EBIT)</t>
  </si>
  <si>
    <t>Net working capital</t>
  </si>
  <si>
    <t>Capital expenditures</t>
  </si>
  <si>
    <t>Depreciation &amp; amortization</t>
  </si>
  <si>
    <t>* Return on capital = (EBIT*[1-t])/(Debt + Equity), where t is marginal tax rate (35% )</t>
  </si>
  <si>
    <t>** Return on market capital = (EBIT*[1-t])/(Debt + MVEquity), where t is marginal tax rate (35%)</t>
  </si>
  <si>
    <t xml:space="preserve">COMPARABLE BONDS </t>
  </si>
  <si>
    <t>Issuer</t>
  </si>
  <si>
    <t>TRACE 
identifier</t>
  </si>
  <si>
    <t>Moody's</t>
  </si>
  <si>
    <t>S&amp;P</t>
  </si>
  <si>
    <t>Issued</t>
  </si>
  <si>
    <t>Currency</t>
  </si>
  <si>
    <t>Principal (mm)</t>
  </si>
  <si>
    <t>Coupon (%)</t>
  </si>
  <si>
    <t>Maturity</t>
  </si>
  <si>
    <t>Years to maturity @ issue</t>
  </si>
  <si>
    <t>Remaining years to maturity</t>
  </si>
  <si>
    <t>Price as of 9/29/2017</t>
  </si>
  <si>
    <t>YTM</t>
  </si>
  <si>
    <t>Credit spread 
(bps)</t>
  </si>
  <si>
    <t>Rate function</t>
  </si>
  <si>
    <t>YTM = Rate x 2</t>
  </si>
  <si>
    <t>Apple Inc.</t>
  </si>
  <si>
    <t>AAPL4538813</t>
  </si>
  <si>
    <t>Aa1</t>
  </si>
  <si>
    <t>AA+</t>
  </si>
  <si>
    <t>USD</t>
  </si>
  <si>
    <t>AAPL4492960</t>
  </si>
  <si>
    <t>Aa3</t>
  </si>
  <si>
    <t>AAPL4492956</t>
  </si>
  <si>
    <t>AAPL4507383</t>
  </si>
  <si>
    <t>Aa2</t>
  </si>
  <si>
    <t>AAPL4538816</t>
  </si>
  <si>
    <t>AAPL4336436</t>
  </si>
  <si>
    <t xml:space="preserve">USD </t>
  </si>
  <si>
    <t>AAPL4389215</t>
  </si>
  <si>
    <t>AAPL4452437</t>
  </si>
  <si>
    <t>AAPL4538814</t>
  </si>
  <si>
    <t>Note: Trades settled as of t+5</t>
  </si>
  <si>
    <t>Source: FINRA</t>
  </si>
  <si>
    <t>YTM of LT Bonds</t>
  </si>
  <si>
    <t>http://finra-markets.morningstar.com/BondCenter/Default.jsp</t>
  </si>
  <si>
    <t>Risk Free</t>
  </si>
  <si>
    <t>Spread (bps)</t>
  </si>
  <si>
    <t>US Treasury Constant Maturity</t>
  </si>
  <si>
    <t>As of September 29, 2017</t>
  </si>
  <si>
    <t>Date</t>
  </si>
  <si>
    <t>Yield to maturity</t>
  </si>
  <si>
    <t>Yr</t>
  </si>
  <si>
    <t>https://www.treasury.gov/resource-center/data-chart-center/interest-rates/Pages/TextView.aspx?data=yieldYear&amp;year=2017</t>
  </si>
  <si>
    <t>Corporate spreads in basis points broken down by time to maturity and S&amp;P rating</t>
  </si>
  <si>
    <t>3 month</t>
  </si>
  <si>
    <t>1 year</t>
  </si>
  <si>
    <t>5 year</t>
  </si>
  <si>
    <t>10 year</t>
  </si>
  <si>
    <t>30 year</t>
  </si>
  <si>
    <t>US Composite of AA+ rated corporate bonds</t>
  </si>
  <si>
    <t>US Composite of AA rated corporate bonds</t>
  </si>
  <si>
    <t>US Composite of AA- rated corporate bonds</t>
  </si>
  <si>
    <r>
      <rPr>
        <b/>
        <i/>
        <sz val="10"/>
        <color theme="1"/>
        <rFont val="Arial"/>
        <family val="2"/>
      </rPr>
      <t>Source</t>
    </r>
    <r>
      <rPr>
        <sz val="10"/>
        <color theme="1"/>
        <rFont val="Arial"/>
        <family val="2"/>
      </rPr>
      <t>: Bloomberg (as of September 30, 2107)</t>
    </r>
  </si>
  <si>
    <t>Company Name</t>
  </si>
  <si>
    <t>Closing Stock Price (9/27/2017)</t>
  </si>
  <si>
    <t>Shares Outstanding - millions (9/27/2017)</t>
  </si>
  <si>
    <t>Market Capitalization (9/27/2017)</t>
  </si>
  <si>
    <t>Total Debt (million $)</t>
  </si>
  <si>
    <t>Beta (2 year using weekly returns)</t>
  </si>
  <si>
    <t>HP Inc. (NYSE:HPQ)</t>
  </si>
  <si>
    <t>Cisco Systems, Inc. (NasdaqGS:CSCO)</t>
  </si>
  <si>
    <t xml:space="preserve"> </t>
    <phoneticPr fontId="1" type="noConversion"/>
  </si>
  <si>
    <r>
      <rPr>
        <b/>
        <i/>
        <sz val="11"/>
        <rFont val="Arial"/>
        <family val="2"/>
      </rPr>
      <t>Sources</t>
    </r>
    <r>
      <rPr>
        <sz val="11"/>
        <rFont val="Arial"/>
        <family val="2"/>
      </rPr>
      <t>: S&amp;P Capital IQ and Bloomberg</t>
    </r>
  </si>
  <si>
    <t>Apple Consensus Analyst Forecasts</t>
  </si>
  <si>
    <t>2017A</t>
  </si>
  <si>
    <t>Revenue (Million USD)</t>
  </si>
  <si>
    <t>EBIT (Million USD)</t>
  </si>
  <si>
    <t>Revenue Growth</t>
  </si>
  <si>
    <t>EBIT growth</t>
  </si>
  <si>
    <t>EBIT / Revenue</t>
  </si>
  <si>
    <r>
      <rPr>
        <b/>
        <i/>
        <sz val="10"/>
        <color theme="1"/>
        <rFont val="Arial"/>
        <family val="2"/>
      </rPr>
      <t>Source</t>
    </r>
    <r>
      <rPr>
        <sz val="10"/>
        <color theme="1"/>
        <rFont val="Arial"/>
        <family val="2"/>
      </rPr>
      <t>: S&amp;P Capital IQ</t>
    </r>
  </si>
  <si>
    <t>Cost of Capital Inputs</t>
  </si>
  <si>
    <t>To Do:</t>
  </si>
  <si>
    <t>Cost of Debt</t>
  </si>
  <si>
    <t>Input Cells are highlighted in yellow</t>
  </si>
  <si>
    <t xml:space="preserve">   Risk Free Rate</t>
  </si>
  <si>
    <t>you need to simply type in numbers you believe should are appropriate</t>
  </si>
  <si>
    <t xml:space="preserve">   Spread</t>
  </si>
  <si>
    <t>in some cases it may be easiest to reference cells in other worksheets</t>
  </si>
  <si>
    <t xml:space="preserve">   Cost of Debt</t>
  </si>
  <si>
    <t>Cells Highlighted in blue require that you create formulas</t>
  </si>
  <si>
    <t>Start with the cost of equity or debt, then compute the WACC formula</t>
  </si>
  <si>
    <t>Cost of Equity</t>
  </si>
  <si>
    <t>Cells in the DCF model should rely on inputs from the DCF model input section</t>
  </si>
  <si>
    <t xml:space="preserve">    Risk Free Rate</t>
  </si>
  <si>
    <t>First build the 2018 FCF using model input assumptions</t>
  </si>
  <si>
    <t xml:space="preserve">    Market Risk Premium</t>
  </si>
  <si>
    <t>Copy over to other years</t>
  </si>
  <si>
    <t xml:space="preserve">    Beta</t>
  </si>
  <si>
    <t>Discount cash flows at the WACC</t>
  </si>
  <si>
    <t xml:space="preserve">    Cost of Equity</t>
  </si>
  <si>
    <t>WACC</t>
  </si>
  <si>
    <t>Weight of Equity</t>
  </si>
  <si>
    <t>Weight of Debt</t>
  </si>
  <si>
    <t>DCF Model Inputs</t>
  </si>
  <si>
    <t>Create a terminal value using a perpetuity growth model</t>
  </si>
  <si>
    <t>Notes</t>
  </si>
  <si>
    <t>Cost of Capital (WACC)</t>
  </si>
  <si>
    <t>The marginal tax rate for Apple in September 2017 was 35%</t>
  </si>
  <si>
    <t>Max Sustainable Term Growth**</t>
  </si>
  <si>
    <t>The US Market Risk Premium is generally in the range of 5-7%</t>
  </si>
  <si>
    <t>Terminal growth for Stage 2</t>
  </si>
  <si>
    <t>Annualized US GDP growth over the 5 years leading up to Sept. 2017 ranged between 1.5% and 3.0%</t>
  </si>
  <si>
    <t>tax rate</t>
  </si>
  <si>
    <t>Dep &amp; Amort / Revenue</t>
  </si>
  <si>
    <t>CAPX / Revenue</t>
  </si>
  <si>
    <t>Net Working Capital /Revenue</t>
  </si>
  <si>
    <t>Current Debt Value</t>
  </si>
  <si>
    <t>Current Cash</t>
  </si>
  <si>
    <t>Shares outstanding</t>
  </si>
  <si>
    <t>DCF Model</t>
  </si>
  <si>
    <t>taxes</t>
  </si>
  <si>
    <t>NOPAT = EBIT×(1 - Tax Rate)</t>
  </si>
  <si>
    <t>Depreciation &amp; Amortization</t>
  </si>
  <si>
    <t>Increase in Working Capital</t>
  </si>
  <si>
    <t>Free Cash Flow to the Firm</t>
  </si>
  <si>
    <t>Reinvestment Rate *</t>
  </si>
  <si>
    <t>Discounted FCF</t>
  </si>
  <si>
    <t>Terminal value</t>
  </si>
  <si>
    <t>Enterprise Value</t>
  </si>
  <si>
    <t>Debt</t>
  </si>
  <si>
    <t>Cash</t>
  </si>
  <si>
    <t>Equity Value</t>
  </si>
  <si>
    <t>Equity Value per share</t>
  </si>
  <si>
    <t>* Reinvestment rate = (Capital Expenditures + Increase in Working Capital - Dep. &amp; Amort) / NOPAT</t>
  </si>
  <si>
    <r>
      <t xml:space="preserve">** Max Sustainable Term Growth = WACC </t>
    </r>
    <r>
      <rPr>
        <sz val="10"/>
        <color theme="1"/>
        <rFont val="Calibri"/>
        <family val="2"/>
      </rPr>
      <t>×</t>
    </r>
    <r>
      <rPr>
        <sz val="10"/>
        <color theme="1"/>
        <rFont val="Arial"/>
        <family val="2"/>
      </rPr>
      <t xml:space="preserve"> Reinvestment Rate</t>
    </r>
  </si>
  <si>
    <t>Objectives</t>
  </si>
  <si>
    <t>1. Estimate Apple’s Cost of Capital (WACC):</t>
  </si>
  <si>
    <t>2. Estimate Apple’s Free Cash Flows to the Firm (FCFF):</t>
  </si>
  <si>
    <t>3. What is Apple's enterprise value? What is Apple's implied price per share?</t>
  </si>
  <si>
    <t>4. Assess the inputs to your analysis. Do you believe your model is aggressive or conservative?</t>
  </si>
  <si>
    <t>5. Determine a low and high valuation for Apple by changing input assumptions. For the high and low cases simply change what you believe to be the most critical inputs to plausible alternative values.</t>
  </si>
  <si>
    <t>1.1. Estimate Apple's target capital structure.</t>
  </si>
  <si>
    <t>1.2. Estimate Apple's a) cost of debt and b) cost of equity (assume a US Market Risk Premium in the 5-7% range).</t>
  </si>
  <si>
    <t>1.3. Use your estimates in 1.1 and 1.2 to estimate Apple’s WACC.</t>
    <phoneticPr fontId="1" type="noConversion"/>
  </si>
  <si>
    <t>2.1. Using information in the spreadsheet tabs "Financials", and "Ratios" make assumptions regarding percent of revenues for Capital expenditures (CAPX), Depreciation &amp; Amortization, and Net Working Capital to forecast the stage 1 years (2018 to 2022).</t>
    <phoneticPr fontId="1" type="noConversion"/>
  </si>
  <si>
    <t>2.2. What are the FCFF for the stage 1 forecast period (2018 to 2022)?</t>
    <phoneticPr fontId="1" type="noConversion"/>
  </si>
  <si>
    <t>2.3. Determine the terminal value (PV of stage 2) for your model using a perpetual growth assumption.</t>
  </si>
  <si>
    <t>Guideline Questions</t>
    <phoneticPr fontId="1" type="noConversion"/>
  </si>
  <si>
    <r>
      <rPr>
        <b/>
        <sz val="10"/>
        <color theme="0"/>
        <rFont val="宋体"/>
        <family val="2"/>
        <charset val="134"/>
      </rPr>
      <t>（</t>
    </r>
    <r>
      <rPr>
        <b/>
        <sz val="10"/>
        <color theme="0"/>
        <rFont val="Arial"/>
        <family val="2"/>
      </rPr>
      <t>30 points</t>
    </r>
    <r>
      <rPr>
        <b/>
        <sz val="10"/>
        <color theme="0"/>
        <rFont val="宋体"/>
        <family val="2"/>
        <charset val="134"/>
      </rPr>
      <t>）</t>
    </r>
    <phoneticPr fontId="1" type="noConversion"/>
  </si>
  <si>
    <r>
      <rPr>
        <b/>
        <sz val="10"/>
        <color theme="0"/>
        <rFont val="宋体"/>
        <family val="2"/>
        <charset val="134"/>
      </rPr>
      <t>（</t>
    </r>
    <r>
      <rPr>
        <b/>
        <sz val="10"/>
        <color theme="0"/>
        <rFont val="Arial"/>
        <family val="2"/>
      </rPr>
      <t>10 points</t>
    </r>
    <r>
      <rPr>
        <b/>
        <sz val="10"/>
        <color theme="0"/>
        <rFont val="宋体"/>
        <family val="2"/>
        <charset val="134"/>
      </rPr>
      <t>）</t>
    </r>
    <phoneticPr fontId="1" type="noConversion"/>
  </si>
  <si>
    <r>
      <rPr>
        <b/>
        <sz val="10"/>
        <color theme="0"/>
        <rFont val="宋体"/>
        <family val="2"/>
        <charset val="134"/>
      </rPr>
      <t>（</t>
    </r>
    <r>
      <rPr>
        <b/>
        <sz val="10"/>
        <color theme="0"/>
        <rFont val="Arial"/>
        <family val="2"/>
      </rPr>
      <t>60 points</t>
    </r>
    <r>
      <rPr>
        <b/>
        <sz val="10"/>
        <color theme="0"/>
        <rFont val="宋体"/>
        <family val="2"/>
        <charset val="134"/>
      </rPr>
      <t>）</t>
    </r>
    <phoneticPr fontId="1" type="noConversion"/>
  </si>
  <si>
    <t>日期</t>
    <phoneticPr fontId="1" type="noConversion"/>
  </si>
  <si>
    <t>项目现金流</t>
    <phoneticPr fontId="1" type="noConversion"/>
  </si>
  <si>
    <t>业务拓展</t>
    <phoneticPr fontId="1" type="noConversion"/>
  </si>
  <si>
    <t>项目层面</t>
    <phoneticPr fontId="1" type="noConversion"/>
  </si>
  <si>
    <t>IRR</t>
    <phoneticPr fontId="1" type="noConversion"/>
  </si>
  <si>
    <t>（2）请仿照右图样式，根据表（1）的数据，制作投资成本在各领域分布的饼状图</t>
    <phoneticPr fontId="1" type="noConversion"/>
  </si>
  <si>
    <t>准入测试 - 第一部分</t>
    <phoneticPr fontId="1" type="noConversion"/>
  </si>
  <si>
    <t>下表为某GP机构的项目投资数据，请据此完成本部分测试。</t>
    <phoneticPr fontId="1" type="noConversion"/>
  </si>
  <si>
    <r>
      <t>请注意，本部分所有题目均需使用</t>
    </r>
    <r>
      <rPr>
        <b/>
        <sz val="11"/>
        <color rgb="FFFF0000"/>
        <rFont val="华文楷体"/>
        <family val="3"/>
        <charset val="134"/>
      </rPr>
      <t>函数或公式</t>
    </r>
    <r>
      <rPr>
        <b/>
        <sz val="11"/>
        <rFont val="华文楷体"/>
        <family val="3"/>
        <charset val="134"/>
      </rPr>
      <t>进行计算，仅写出数值结果不得分。</t>
    </r>
    <phoneticPr fontId="1" type="noConversion"/>
  </si>
  <si>
    <t>公司名称</t>
  </si>
  <si>
    <t>领域</t>
  </si>
  <si>
    <t>年份</t>
  </si>
  <si>
    <t>预计盈利2019E（亿元）</t>
    <phoneticPr fontId="1" type="noConversion"/>
  </si>
  <si>
    <t>预计盈利2020E（亿元）</t>
    <phoneticPr fontId="1" type="noConversion"/>
  </si>
  <si>
    <t>投资估值（亿元）</t>
    <phoneticPr fontId="1" type="noConversion"/>
  </si>
  <si>
    <t>现估值（亿元）</t>
    <phoneticPr fontId="1" type="noConversion"/>
  </si>
  <si>
    <t>估值增长乘数</t>
    <phoneticPr fontId="1" type="noConversion"/>
  </si>
  <si>
    <t>源美公司</t>
  </si>
  <si>
    <t>安全领域</t>
  </si>
  <si>
    <t>泰如公司</t>
  </si>
  <si>
    <t>前沿科技</t>
  </si>
  <si>
    <t>信和公司</t>
  </si>
  <si>
    <t>协盈公司</t>
  </si>
  <si>
    <t>茂发公司</t>
  </si>
  <si>
    <t>长鑫公司</t>
  </si>
  <si>
    <t>优元公司</t>
  </si>
  <si>
    <t>丰汇公司</t>
  </si>
  <si>
    <t>春凯公司</t>
  </si>
  <si>
    <t>隆顺公司</t>
  </si>
  <si>
    <t>大健康</t>
  </si>
  <si>
    <t>安广公司</t>
  </si>
  <si>
    <t>东进公司</t>
  </si>
  <si>
    <t>浩发公司</t>
  </si>
  <si>
    <t>义浩公司</t>
  </si>
  <si>
    <t>长圣公司</t>
  </si>
  <si>
    <t>金庆公司</t>
  </si>
  <si>
    <t>汇中公司</t>
  </si>
  <si>
    <t>成同公司</t>
  </si>
  <si>
    <t>信长公司</t>
  </si>
  <si>
    <t>晶安公司</t>
  </si>
  <si>
    <t>庆合公司</t>
  </si>
  <si>
    <t>汇恒公司</t>
  </si>
  <si>
    <t>国宏公司</t>
  </si>
  <si>
    <t>多辉公司</t>
  </si>
  <si>
    <t>永多公司</t>
  </si>
  <si>
    <t>盈凯公司</t>
  </si>
  <si>
    <t>安巨公司</t>
  </si>
  <si>
    <t>（1）请分别计算下列领域公司的投资成本总和、平均投资成本，并对公司数量进行计数</t>
    <phoneticPr fontId="1" type="noConversion"/>
  </si>
  <si>
    <t>（15分）</t>
    <phoneticPr fontId="1" type="noConversion"/>
  </si>
  <si>
    <t>领域</t>
    <phoneticPr fontId="1" type="noConversion"/>
  </si>
  <si>
    <t>总投资成本</t>
    <phoneticPr fontId="1" type="noConversion"/>
  </si>
  <si>
    <t>平均投资成本</t>
    <phoneticPr fontId="1" type="noConversion"/>
  </si>
  <si>
    <t>公司个数</t>
    <phoneticPr fontId="1" type="noConversion"/>
  </si>
  <si>
    <t>大健康</t>
    <phoneticPr fontId="1" type="noConversion"/>
  </si>
  <si>
    <t>前沿科技</t>
    <phoneticPr fontId="1" type="noConversion"/>
  </si>
  <si>
    <t>安全领域</t>
    <phoneticPr fontId="1" type="noConversion"/>
  </si>
  <si>
    <t>（3）请使用IF函数填充投资决策列，使得①对年份在2017年及以前，且投资成本在5000万元以下的项目，投资决策为“是”②对其他项目，投资决策为“否”</t>
    <phoneticPr fontId="1" type="noConversion"/>
  </si>
  <si>
    <t>（10分）</t>
    <phoneticPr fontId="1" type="noConversion"/>
  </si>
  <si>
    <t>投资决策</t>
    <phoneticPr fontId="1" type="noConversion"/>
  </si>
  <si>
    <t>年份</t>
    <phoneticPr fontId="1" type="noConversion"/>
  </si>
  <si>
    <t>累计DPI</t>
  </si>
  <si>
    <t>（6）请仿照右图样式，根据下表数据，制作value bridge</t>
    <phoneticPr fontId="1" type="noConversion"/>
  </si>
  <si>
    <t>IPO增值</t>
    <phoneticPr fontId="1" type="noConversion"/>
  </si>
  <si>
    <t>盈利变化</t>
    <phoneticPr fontId="1" type="noConversion"/>
  </si>
  <si>
    <t>P/E倍数</t>
    <phoneticPr fontId="1" type="noConversion"/>
  </si>
  <si>
    <t>要点：①字体为华文楷体 ②颜色为222 235 247/46 117 182/0 32 96 ③添加图示样式数据标签 ④图表区透明背景无边框</t>
  </si>
  <si>
    <t>要点：①字体为华文楷体 ②颜色为222 235 247/157 195 230/46 117 182/0 32 96 ③折线标记为正方形 ④图表区透明背景无边框</t>
  </si>
  <si>
    <t>要点：①字体为华文楷体 ②颜色为157 195 230/0 32 96 ③折线标记为正方形 ④DPI添加数据标签 ⑤图表区透明背景无边框</t>
  </si>
  <si>
    <t>要点：①字体为华文楷体 ②颜色为222 235 247/157 195 230/46 117 182/0 32 96 ③标签及坐标轴数字格式为0.00x ④图表区透明背景无边框</t>
  </si>
  <si>
    <t>第二部分为苹果公司估值案例，主要考察折现现金流（DCF）估值模型的应用。本部分首页所列问题仅为引导之用，无需作答。请将估值模型填写在"第二部分 答题区" tab中。</t>
  </si>
  <si>
    <t>You are provided a spreadsheet that has historic financial information for Apple with many key ratios computed. The file also provides information on Apple's debt as of September 2017, Apple's beta as well as the beta of two peers. Finally, you are given consensus analyst forecasts (taken from September 2017) of Apple's revenues and EBIT for five years.
The tab "第二部分 答题区" in the spreadsheet provides a template you can use in responding to assignment questions, below, to build a valuation model.</t>
  </si>
  <si>
    <t>The questions below are just guidelines for your valuation. You are expected to fill in the tab "第二部分 答题区" to complete your valuation.</t>
  </si>
  <si>
    <t>准入测试 - 第二部分</t>
    <phoneticPr fontId="1" type="noConversion"/>
  </si>
  <si>
    <t>函数公式题：请在绿色单元格进行回答</t>
    <phoneticPr fontId="1" type="noConversion"/>
  </si>
  <si>
    <t>图表制作题：请仿照给出的样例，按要求绘制相应图表</t>
    <phoneticPr fontId="1" type="noConversion"/>
  </si>
  <si>
    <t>业务拓展现金流总计</t>
    <phoneticPr fontId="1" type="noConversion"/>
  </si>
  <si>
    <t>（20分）</t>
    <phoneticPr fontId="1" type="noConversion"/>
  </si>
  <si>
    <t>（4）请仿照右图样式，根据总表数据，制作各年份的投资成本总额及各领域占比的变化趋势图</t>
    <phoneticPr fontId="1" type="noConversion"/>
  </si>
  <si>
    <t>（5）请仿照右图样式，根据下表数据，制作各年份DPI的柱状图及累计DPI的线形图</t>
    <phoneticPr fontId="1" type="noConversion"/>
  </si>
  <si>
    <t>情景预期\时间</t>
    <phoneticPr fontId="1" type="noConversion"/>
  </si>
  <si>
    <t>金额单位：万元</t>
    <phoneticPr fontId="1" type="noConversion"/>
  </si>
  <si>
    <t>（7）请用函数计算投资人甲和业务拓展的现金流。</t>
  </si>
  <si>
    <t>投资人甲回本计算</t>
  </si>
  <si>
    <t>投资人甲回本后的分配</t>
  </si>
  <si>
    <t>投资人甲</t>
  </si>
  <si>
    <t>投资人甲现金流总计</t>
  </si>
  <si>
    <t>（8）利用（7）的现金流，计算甜品店层面的IRR和投资人甲的IRR。</t>
    <phoneticPr fontId="1" type="noConversion"/>
  </si>
  <si>
    <t xml:space="preserve">7-12题为一个投资和退出案例：
投资人甲投资了一个甜品店，甜品店有被食品公司乙并购的可能性。
</t>
    <phoneticPr fontId="1" type="noConversion"/>
  </si>
  <si>
    <t>退出情景预期</t>
    <phoneticPr fontId="1" type="noConversion"/>
  </si>
  <si>
    <t>通过剥离转让甜品店时间</t>
    <phoneticPr fontId="1" type="noConversion"/>
  </si>
  <si>
    <t>净利润预测</t>
    <phoneticPr fontId="1" type="noConversion"/>
  </si>
  <si>
    <t>（10）请根据（9）的计算结果，用模拟运算表计算不同的P/E倍数、退出情景预期下，甜品店的转让估值。</t>
    <phoneticPr fontId="1" type="noConversion"/>
  </si>
  <si>
    <t>（9）食品公司乙计划并购此甜品店，未来通过剥离转让实现投资回报。食品公司乙对甜品店有净利润预测和回报预期（如下）。在情景预期2，请计算甜品店在未来的转让估值。</t>
    <phoneticPr fontId="1" type="noConversion"/>
  </si>
  <si>
    <t>期初时的剩余投资本金</t>
    <phoneticPr fontId="1" type="noConversion"/>
  </si>
  <si>
    <t>当期收回的投资本金</t>
    <phoneticPr fontId="1" type="noConversion"/>
  </si>
  <si>
    <t>期末的剩余投资本金</t>
    <phoneticPr fontId="1" type="noConversion"/>
  </si>
  <si>
    <t>回本后可分配的净利润</t>
    <phoneticPr fontId="1" type="noConversion"/>
  </si>
  <si>
    <t>投资人甲在2013年12月31日对甜品店投入成本300万元，持股比例为100%。甜品店在2015年盈利，投资人甲开始回收本金。</t>
    <phoneticPr fontId="1" type="noConversion"/>
  </si>
  <si>
    <t>净利润分配方式：甜品店所有净利润将优先分配给投资人甲。等投资人甲回收初始投资本金（300万元），后续的净利润会有60%投入到业务发展，40%的净利润分配给投资人甲。</t>
    <phoneticPr fontId="1" type="noConversion"/>
  </si>
  <si>
    <t>退出时转让估值</t>
    <phoneticPr fontId="1" type="noConversion"/>
  </si>
  <si>
    <t>转让时间</t>
    <phoneticPr fontId="1" type="noConversion"/>
  </si>
  <si>
    <t>情景预期</t>
    <phoneticPr fontId="1" type="noConversion"/>
  </si>
  <si>
    <t>转让时净利润</t>
    <phoneticPr fontId="1" type="noConversion"/>
  </si>
  <si>
    <t>2021-转让的净利润CAGR</t>
    <phoneticPr fontId="1" type="noConversion"/>
  </si>
  <si>
    <t>2021年净利润</t>
    <phoneticPr fontId="1" type="noConversion"/>
  </si>
  <si>
    <r>
      <t>第一部分共有10道小题，主要考察1）Excel函数、公式的使用；2）Excel图表的绘制。请使用</t>
    </r>
    <r>
      <rPr>
        <sz val="12"/>
        <color rgb="FFFF0000"/>
        <rFont val="华文楷体"/>
        <family val="3"/>
        <charset val="134"/>
      </rPr>
      <t>函数或公式</t>
    </r>
    <r>
      <rPr>
        <sz val="12"/>
        <color theme="1"/>
        <rFont val="华文楷体"/>
        <family val="3"/>
        <charset val="134"/>
      </rPr>
      <t>作答本部分题目，仅填写数值结果的答案无效。</t>
    </r>
    <phoneticPr fontId="1" type="noConversion"/>
  </si>
  <si>
    <r>
      <t xml:space="preserve">欢迎参加光尘顾问Technical Test。本测试的所有题目及其作答均在“Part I </t>
    </r>
    <r>
      <rPr>
        <sz val="12"/>
        <color rgb="FFFF0000"/>
        <rFont val="华文楷体"/>
        <family val="3"/>
        <charset val="134"/>
      </rPr>
      <t>- Technical Test.xlsx</t>
    </r>
    <r>
      <rPr>
        <sz val="12"/>
        <color theme="1"/>
        <rFont val="华文楷体"/>
        <family val="3"/>
        <charset val="134"/>
      </rPr>
      <t>”中完成，请在</t>
    </r>
    <r>
      <rPr>
        <sz val="12"/>
        <color rgb="FFFF0000"/>
        <rFont val="华文楷体"/>
        <family val="3"/>
        <charset val="134"/>
      </rPr>
      <t>2小时</t>
    </r>
    <r>
      <rPr>
        <sz val="12"/>
        <color theme="1"/>
        <rFont val="华文楷体"/>
        <family val="3"/>
        <charset val="134"/>
      </rPr>
      <t>内完成测试并提交文档。本测试共分为二个部分，第一部分</t>
    </r>
    <r>
      <rPr>
        <sz val="12"/>
        <color rgb="FFFF0000"/>
        <rFont val="华文楷体"/>
        <family val="3"/>
        <charset val="134"/>
      </rPr>
      <t>占120分</t>
    </r>
    <r>
      <rPr>
        <sz val="12"/>
        <color theme="1"/>
        <rFont val="华文楷体"/>
        <family val="3"/>
        <charset val="134"/>
      </rPr>
      <t>，第二部分占80分，总分200分，</t>
    </r>
    <r>
      <rPr>
        <b/>
        <sz val="12"/>
        <color rgb="FFFF0000"/>
        <rFont val="华文楷体"/>
        <family val="3"/>
        <charset val="134"/>
      </rPr>
      <t>请先浏览全部试题后，合理安排时间</t>
    </r>
    <r>
      <rPr>
        <sz val="12"/>
        <color theme="1"/>
        <rFont val="华文楷体"/>
        <family val="3"/>
        <charset val="134"/>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</si>
</sst>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 #,##0.00_ ;_ * \-#,##0.00_ ;_ * &quot;-&quot;??_ ;_ @_ "/>
    <numFmt numFmtId="176" formatCode="_(&quot;$&quot;* #,##0.00_);_(&quot;$&quot;* \(#,##0.00\);_(&quot;$&quot;* &quot;-&quot;??_);_(@_)"/>
    <numFmt numFmtId="177" formatCode="_(* #,##0.00_);_(* \(#,##0.00\);_(* &quot;-&quot;??_);_(@_)"/>
    <numFmt numFmtId="178" formatCode="_ * #,##0.0_ ;_ * \-#,##0.0_ ;_ * &quot;-&quot;??_ ;_ @_ "/>
    <numFmt numFmtId="179" formatCode="0.00\x"/>
    <numFmt numFmtId="180" formatCode="0_ "/>
    <numFmt numFmtId="181" formatCode="#,##0.00_ "/>
    <numFmt numFmtId="182" formatCode="#,##0.0"/>
    <numFmt numFmtId="183" formatCode="_(* #,##0.0_);_(* \(#,##0.0\);_(* &quot;-&quot;?_);_(@_)"/>
    <numFmt numFmtId="184" formatCode="&quot;$&quot;#,##0.00"/>
    <numFmt numFmtId="185" formatCode="0.0%"/>
    <numFmt numFmtId="186" formatCode="0.0"/>
    <numFmt numFmtId="187" formatCode="0.000%"/>
    <numFmt numFmtId="188" formatCode="0.000"/>
    <numFmt numFmtId="189" formatCode="[$-409]d\-mmm\-yy;@"/>
    <numFmt numFmtId="190" formatCode="#,##0.000"/>
    <numFmt numFmtId="191" formatCode="_(\ #,##0.0#_);_(\(\ #,##0.0#\)_);_(\ &quot; - &quot;_)"/>
    <numFmt numFmtId="192" formatCode="_(\ #,##0.0_);_(\ \(#,##0.0\)_);_(\ &quot; - &quot;_)"/>
    <numFmt numFmtId="193" formatCode="&quot;$&quot;#,##0"/>
    <numFmt numFmtId="194" formatCode="0.00000%"/>
    <numFmt numFmtId="195" formatCode="_(&quot;$&quot;* #,##0_);_(&quot;$&quot;* \(#,##0\);_(&quot;$&quot;* &quot;-&quot;??_);_(@_)"/>
    <numFmt numFmtId="196" formatCode="_ * #,##0_ ;_ * \-#,##0_ ;_ * &quot;-&quot;??_ ;_ @_ "/>
    <numFmt numFmtId="197" formatCode="0&quot;年&quot;"/>
    <numFmt numFmtId="198" formatCode="0.0\ \x"/>
  </numFmts>
  <fonts count="46" x14ac:knownFonts="1">
    <font>
      <sz val="11"/>
      <color theme="1"/>
      <name val="等线"/>
      <family val="2"/>
      <scheme val="minor"/>
    </font>
    <font>
      <sz val="9"/>
      <name val="等线"/>
      <family val="3"/>
      <charset val="134"/>
      <scheme val="minor"/>
    </font>
    <font>
      <sz val="11"/>
      <color theme="1"/>
      <name val="等线"/>
      <family val="2"/>
      <scheme val="minor"/>
    </font>
    <font>
      <sz val="11"/>
      <color theme="1"/>
      <name val="Arial"/>
      <family val="2"/>
    </font>
    <font>
      <b/>
      <sz val="12"/>
      <color theme="0"/>
      <name val="Arial"/>
      <family val="2"/>
    </font>
    <font>
      <sz val="11"/>
      <color theme="0"/>
      <name val="Arial"/>
      <family val="2"/>
    </font>
    <font>
      <sz val="10"/>
      <color theme="1"/>
      <name val="Arial"/>
      <family val="2"/>
    </font>
    <font>
      <b/>
      <sz val="10"/>
      <color theme="1"/>
      <name val="Arial"/>
      <family val="2"/>
    </font>
    <font>
      <sz val="11"/>
      <name val="Arial"/>
      <family val="2"/>
    </font>
    <font>
      <sz val="11"/>
      <color rgb="FF000000"/>
      <name val="等线"/>
      <family val="2"/>
      <scheme val="minor"/>
    </font>
    <font>
      <sz val="11"/>
      <color rgb="FF000000"/>
      <name val="Arial"/>
      <family val="2"/>
    </font>
    <font>
      <sz val="10"/>
      <color theme="0"/>
      <name val="Arial"/>
      <family val="2"/>
    </font>
    <font>
      <i/>
      <sz val="10"/>
      <color theme="1"/>
      <name val="Arial"/>
      <family val="2"/>
    </font>
    <font>
      <u/>
      <sz val="11"/>
      <color theme="10"/>
      <name val="等线"/>
      <family val="2"/>
      <scheme val="minor"/>
    </font>
    <font>
      <b/>
      <sz val="10"/>
      <name val="MS Sans Serif"/>
      <family val="2"/>
    </font>
    <font>
      <b/>
      <sz val="12"/>
      <color indexed="9"/>
      <name val="Arial"/>
      <family val="2"/>
    </font>
    <font>
      <b/>
      <sz val="10"/>
      <color rgb="FF000000"/>
      <name val="Arial"/>
      <family val="2"/>
    </font>
    <font>
      <sz val="10"/>
      <color rgb="FF000000"/>
      <name val="Arial"/>
      <family val="2"/>
    </font>
    <font>
      <sz val="10"/>
      <name val="Arial"/>
      <family val="2"/>
    </font>
    <font>
      <u/>
      <sz val="10"/>
      <color theme="10"/>
      <name val="Arial"/>
      <family val="2"/>
    </font>
    <font>
      <sz val="9"/>
      <color indexed="0"/>
      <name val="Helvetica"/>
    </font>
    <font>
      <sz val="10"/>
      <color indexed="0"/>
      <name val="Arial"/>
      <family val="2"/>
    </font>
    <font>
      <b/>
      <u/>
      <sz val="10"/>
      <color theme="1"/>
      <name val="Arial"/>
      <family val="2"/>
    </font>
    <font>
      <b/>
      <i/>
      <sz val="10"/>
      <color theme="1"/>
      <name val="Arial"/>
      <family val="2"/>
    </font>
    <font>
      <b/>
      <sz val="11"/>
      <color theme="0"/>
      <name val="Arial"/>
      <family val="2"/>
    </font>
    <font>
      <sz val="11"/>
      <color indexed="8"/>
      <name val="Arial"/>
      <family val="2"/>
    </font>
    <font>
      <b/>
      <sz val="11"/>
      <color indexed="8"/>
      <name val="Arial"/>
      <family val="2"/>
    </font>
    <font>
      <b/>
      <i/>
      <sz val="11"/>
      <name val="Arial"/>
      <family val="2"/>
    </font>
    <font>
      <b/>
      <sz val="10"/>
      <color theme="0"/>
      <name val="Arial"/>
      <family val="2"/>
    </font>
    <font>
      <sz val="10"/>
      <color rgb="FFFF0000"/>
      <name val="Arial"/>
      <family val="2"/>
    </font>
    <font>
      <sz val="10"/>
      <color theme="1"/>
      <name val="Calibri"/>
      <family val="2"/>
    </font>
    <font>
      <b/>
      <sz val="10"/>
      <color theme="0"/>
      <name val="宋体"/>
      <family val="2"/>
      <charset val="134"/>
    </font>
    <font>
      <sz val="12"/>
      <color theme="1"/>
      <name val="等线"/>
      <family val="2"/>
      <charset val="134"/>
      <scheme val="minor"/>
    </font>
    <font>
      <b/>
      <sz val="11"/>
      <color theme="0"/>
      <name val="华文楷体"/>
      <family val="3"/>
      <charset val="134"/>
    </font>
    <font>
      <sz val="11"/>
      <color theme="1"/>
      <name val="华文楷体"/>
      <family val="3"/>
      <charset val="134"/>
    </font>
    <font>
      <b/>
      <sz val="11"/>
      <name val="华文楷体"/>
      <family val="3"/>
      <charset val="134"/>
    </font>
    <font>
      <b/>
      <sz val="11"/>
      <color rgb="FFFF0000"/>
      <name val="华文楷体"/>
      <family val="3"/>
      <charset val="134"/>
    </font>
    <font>
      <b/>
      <sz val="11"/>
      <color theme="1"/>
      <name val="华文楷体"/>
      <family val="3"/>
      <charset val="134"/>
    </font>
    <font>
      <sz val="11"/>
      <name val="华文楷体"/>
      <family val="3"/>
      <charset val="134"/>
    </font>
    <font>
      <sz val="11"/>
      <color theme="0"/>
      <name val="华文楷体"/>
      <family val="3"/>
      <charset val="134"/>
    </font>
    <font>
      <i/>
      <sz val="11"/>
      <color theme="1"/>
      <name val="华文楷体"/>
      <family val="3"/>
      <charset val="134"/>
    </font>
    <font>
      <b/>
      <sz val="11"/>
      <color rgb="FF000000"/>
      <name val="华文楷体"/>
      <family val="3"/>
      <charset val="134"/>
    </font>
    <font>
      <sz val="11"/>
      <color rgb="FF000000"/>
      <name val="华文楷体"/>
      <family val="3"/>
      <charset val="134"/>
    </font>
    <font>
      <sz val="12"/>
      <color theme="1"/>
      <name val="华文楷体"/>
      <family val="3"/>
      <charset val="134"/>
    </font>
    <font>
      <sz val="12"/>
      <color rgb="FFFF0000"/>
      <name val="华文楷体"/>
      <family val="3"/>
      <charset val="134"/>
    </font>
    <font>
      <b/>
      <sz val="12"/>
      <color rgb="FFFF0000"/>
      <name val="华文楷体"/>
      <family val="3"/>
      <charset val="134"/>
    </font>
  </fonts>
  <fills count="9">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34638"/>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style="dotted">
        <color auto="1"/>
      </left>
      <right style="dotted">
        <color auto="1"/>
      </right>
      <top/>
      <bottom style="dotted">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7">
    <xf numFmtId="0" fontId="0" fillId="0" borderId="0"/>
    <xf numFmtId="43" fontId="2" fillId="0" borderId="0" applyFont="0" applyFill="0" applyBorder="0" applyAlignment="0" applyProtection="0">
      <alignment vertical="center"/>
    </xf>
    <xf numFmtId="177" fontId="2" fillId="0" borderId="0" applyFont="0" applyFill="0" applyBorder="0" applyAlignment="0" applyProtection="0"/>
    <xf numFmtId="0" fontId="9" fillId="0" borderId="0"/>
    <xf numFmtId="176"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xf numFmtId="0" fontId="2" fillId="0" borderId="0"/>
    <xf numFmtId="0" fontId="14" fillId="0" borderId="0" applyNumberForma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0" fontId="20" fillId="0" borderId="0"/>
    <xf numFmtId="0" fontId="18" fillId="0" borderId="0" applyFill="0" applyBorder="0" applyProtection="0">
      <protection locked="0"/>
    </xf>
    <xf numFmtId="0" fontId="18" fillId="0" borderId="0" applyFill="0" applyBorder="0" applyProtection="0">
      <protection locked="0"/>
    </xf>
    <xf numFmtId="176" fontId="2" fillId="0" borderId="0" applyFont="0" applyFill="0" applyBorder="0" applyAlignment="0" applyProtection="0"/>
    <xf numFmtId="9" fontId="2" fillId="0" borderId="0" applyFont="0" applyFill="0" applyBorder="0" applyAlignment="0" applyProtection="0">
      <alignment vertical="center"/>
    </xf>
    <xf numFmtId="0" fontId="32" fillId="0" borderId="0"/>
  </cellStyleXfs>
  <cellXfs count="229">
    <xf numFmtId="0" fontId="0" fillId="0" borderId="0" xfId="0"/>
    <xf numFmtId="0" fontId="3" fillId="0" borderId="0" xfId="0" applyFont="1"/>
    <xf numFmtId="0" fontId="4" fillId="5" borderId="0" xfId="0" applyFont="1" applyFill="1"/>
    <xf numFmtId="0" fontId="5" fillId="5" borderId="0" xfId="0" applyFont="1" applyFill="1"/>
    <xf numFmtId="14" fontId="5" fillId="5" borderId="0" xfId="0" applyNumberFormat="1" applyFont="1" applyFill="1"/>
    <xf numFmtId="0" fontId="6" fillId="0" borderId="0" xfId="0" applyFont="1"/>
    <xf numFmtId="182" fontId="6" fillId="0" borderId="0" xfId="0" applyNumberFormat="1" applyFont="1"/>
    <xf numFmtId="182" fontId="6" fillId="0" borderId="2" xfId="0" applyNumberFormat="1" applyFont="1" applyBorder="1"/>
    <xf numFmtId="182" fontId="6" fillId="0" borderId="3" xfId="0" applyNumberFormat="1" applyFont="1" applyBorder="1"/>
    <xf numFmtId="0" fontId="7" fillId="0" borderId="0" xfId="0" applyFont="1"/>
    <xf numFmtId="182" fontId="6" fillId="0" borderId="4" xfId="0" applyNumberFormat="1" applyFont="1" applyBorder="1"/>
    <xf numFmtId="183" fontId="6" fillId="0" borderId="2" xfId="0" applyNumberFormat="1" applyFont="1" applyBorder="1"/>
    <xf numFmtId="177" fontId="6" fillId="0" borderId="2" xfId="0" applyNumberFormat="1" applyFont="1" applyBorder="1"/>
    <xf numFmtId="0" fontId="6" fillId="0" borderId="2" xfId="0" applyFont="1" applyBorder="1"/>
    <xf numFmtId="182" fontId="8" fillId="0" borderId="0" xfId="2" applyNumberFormat="1" applyFont="1"/>
    <xf numFmtId="182" fontId="10" fillId="0" borderId="0" xfId="3" applyNumberFormat="1" applyFont="1"/>
    <xf numFmtId="184" fontId="8" fillId="0" borderId="0" xfId="4" applyNumberFormat="1" applyFont="1" applyAlignment="1">
      <alignment horizontal="right"/>
    </xf>
    <xf numFmtId="0" fontId="11" fillId="5" borderId="0" xfId="0" applyFont="1" applyFill="1"/>
    <xf numFmtId="0" fontId="11" fillId="5" borderId="0" xfId="0" applyFont="1" applyFill="1" applyAlignment="1">
      <alignment horizontal="right"/>
    </xf>
    <xf numFmtId="2" fontId="6" fillId="0" borderId="0" xfId="0" applyNumberFormat="1" applyFont="1"/>
    <xf numFmtId="185" fontId="6" fillId="0" borderId="0" xfId="5" applyNumberFormat="1" applyFont="1"/>
    <xf numFmtId="186" fontId="6" fillId="0" borderId="0" xfId="0" applyNumberFormat="1" applyFont="1"/>
    <xf numFmtId="2" fontId="6" fillId="0" borderId="0" xfId="0" applyNumberFormat="1" applyFont="1" applyAlignment="1">
      <alignment horizontal="right"/>
    </xf>
    <xf numFmtId="2" fontId="6" fillId="0" borderId="0" xfId="5" applyNumberFormat="1" applyFont="1"/>
    <xf numFmtId="0" fontId="12" fillId="0" borderId="0" xfId="0" applyFont="1"/>
    <xf numFmtId="182" fontId="12" fillId="0" borderId="0" xfId="0" applyNumberFormat="1" applyFont="1"/>
    <xf numFmtId="0" fontId="6" fillId="0" borderId="0" xfId="7" applyFont="1"/>
    <xf numFmtId="0" fontId="6" fillId="0" borderId="0" xfId="7" applyFont="1" applyAlignment="1">
      <alignment horizontal="left"/>
    </xf>
    <xf numFmtId="0" fontId="6" fillId="0" borderId="0" xfId="7" applyFont="1" applyAlignment="1">
      <alignment horizontal="center"/>
    </xf>
    <xf numFmtId="187" fontId="6" fillId="0" borderId="0" xfId="7" applyNumberFormat="1" applyFont="1"/>
    <xf numFmtId="0" fontId="15" fillId="5" borderId="0" xfId="8" applyFont="1" applyFill="1"/>
    <xf numFmtId="0" fontId="7" fillId="0" borderId="5" xfId="7" applyFont="1" applyBorder="1"/>
    <xf numFmtId="0" fontId="7" fillId="0" borderId="5" xfId="7" applyFont="1" applyBorder="1" applyAlignment="1">
      <alignment horizontal="left" wrapText="1"/>
    </xf>
    <xf numFmtId="0" fontId="16" fillId="0" borderId="5" xfId="7" applyFont="1" applyBorder="1" applyAlignment="1">
      <alignment horizontal="center" wrapText="1"/>
    </xf>
    <xf numFmtId="188" fontId="16" fillId="0" borderId="5" xfId="7" applyNumberFormat="1" applyFont="1" applyBorder="1" applyAlignment="1">
      <alignment horizontal="center" wrapText="1"/>
    </xf>
    <xf numFmtId="189" fontId="16" fillId="0" borderId="5" xfId="7" applyNumberFormat="1" applyFont="1" applyBorder="1" applyAlignment="1">
      <alignment horizontal="center" wrapText="1"/>
    </xf>
    <xf numFmtId="2" fontId="16" fillId="0" borderId="5" xfId="7" applyNumberFormat="1" applyFont="1" applyBorder="1" applyAlignment="1">
      <alignment horizontal="center" wrapText="1"/>
    </xf>
    <xf numFmtId="0" fontId="7" fillId="0" borderId="0" xfId="7" applyFont="1" applyAlignment="1">
      <alignment horizontal="right" wrapText="1"/>
    </xf>
    <xf numFmtId="187" fontId="7" fillId="0" borderId="0" xfId="7" applyNumberFormat="1" applyFont="1" applyAlignment="1">
      <alignment horizontal="right" wrapText="1"/>
    </xf>
    <xf numFmtId="0" fontId="17" fillId="0" borderId="0" xfId="7" applyFont="1" applyAlignment="1">
      <alignment horizontal="left" vertical="center"/>
    </xf>
    <xf numFmtId="0" fontId="17" fillId="0" borderId="0" xfId="7" applyFont="1" applyAlignment="1">
      <alignment horizontal="center" vertical="center"/>
    </xf>
    <xf numFmtId="189" fontId="17" fillId="0" borderId="0" xfId="7" applyNumberFormat="1" applyFont="1" applyAlignment="1">
      <alignment horizontal="center" vertical="center"/>
    </xf>
    <xf numFmtId="3" fontId="17" fillId="0" borderId="0" xfId="7" applyNumberFormat="1" applyFont="1" applyAlignment="1">
      <alignment horizontal="center" vertical="center"/>
    </xf>
    <xf numFmtId="188" fontId="17" fillId="0" borderId="0" xfId="7" applyNumberFormat="1" applyFont="1" applyAlignment="1">
      <alignment horizontal="center" vertical="center"/>
    </xf>
    <xf numFmtId="1" fontId="17" fillId="0" borderId="0" xfId="7" applyNumberFormat="1" applyFont="1" applyAlignment="1">
      <alignment horizontal="center" vertical="center"/>
    </xf>
    <xf numFmtId="186" fontId="17" fillId="0" borderId="0" xfId="7" applyNumberFormat="1" applyFont="1" applyAlignment="1">
      <alignment horizontal="center" vertical="center"/>
    </xf>
    <xf numFmtId="190" fontId="17" fillId="0" borderId="0" xfId="7" applyNumberFormat="1" applyFont="1" applyAlignment="1">
      <alignment horizontal="center" wrapText="1"/>
    </xf>
    <xf numFmtId="187" fontId="6" fillId="0" borderId="0" xfId="9" applyNumberFormat="1" applyFont="1" applyAlignment="1">
      <alignment horizontal="center"/>
    </xf>
    <xf numFmtId="1" fontId="6" fillId="0" borderId="0" xfId="7" applyNumberFormat="1" applyFont="1" applyAlignment="1">
      <alignment horizontal="center" vertical="center"/>
    </xf>
    <xf numFmtId="10" fontId="6" fillId="0" borderId="0" xfId="10" applyNumberFormat="1" applyFont="1"/>
    <xf numFmtId="187" fontId="6" fillId="0" borderId="0" xfId="10" applyNumberFormat="1" applyFont="1"/>
    <xf numFmtId="0" fontId="17" fillId="0" borderId="0" xfId="7" applyFont="1" applyAlignment="1">
      <alignment horizontal="left" vertical="center" wrapText="1"/>
    </xf>
    <xf numFmtId="190" fontId="17" fillId="0" borderId="0" xfId="7" applyNumberFormat="1" applyFont="1" applyAlignment="1">
      <alignment horizontal="center" vertical="center"/>
    </xf>
    <xf numFmtId="0" fontId="6" fillId="0" borderId="2" xfId="7" applyFont="1" applyBorder="1"/>
    <xf numFmtId="0" fontId="17" fillId="0" borderId="2" xfId="7" applyFont="1" applyBorder="1" applyAlignment="1">
      <alignment horizontal="left" vertical="center"/>
    </xf>
    <xf numFmtId="0" fontId="17" fillId="0" borderId="2" xfId="7" applyFont="1" applyBorder="1" applyAlignment="1">
      <alignment horizontal="center" vertical="center"/>
    </xf>
    <xf numFmtId="189" fontId="17" fillId="0" borderId="2" xfId="7" applyNumberFormat="1" applyFont="1" applyBorder="1" applyAlignment="1">
      <alignment horizontal="center" vertical="center"/>
    </xf>
    <xf numFmtId="3" fontId="17" fillId="0" borderId="2" xfId="7" applyNumberFormat="1" applyFont="1" applyBorder="1" applyAlignment="1">
      <alignment horizontal="center" vertical="center"/>
    </xf>
    <xf numFmtId="188" fontId="17" fillId="0" borderId="2" xfId="7" applyNumberFormat="1" applyFont="1" applyBorder="1" applyAlignment="1">
      <alignment horizontal="center" vertical="center"/>
    </xf>
    <xf numFmtId="1" fontId="17" fillId="0" borderId="2" xfId="7" applyNumberFormat="1" applyFont="1" applyBorder="1" applyAlignment="1">
      <alignment horizontal="center" vertical="center"/>
    </xf>
    <xf numFmtId="186" fontId="17" fillId="0" borderId="2" xfId="7" applyNumberFormat="1" applyFont="1" applyBorder="1" applyAlignment="1">
      <alignment horizontal="center" vertical="center"/>
    </xf>
    <xf numFmtId="190" fontId="17" fillId="0" borderId="2" xfId="7" applyNumberFormat="1" applyFont="1" applyBorder="1" applyAlignment="1">
      <alignment horizontal="center" vertical="center"/>
    </xf>
    <xf numFmtId="187" fontId="7" fillId="0" borderId="2" xfId="9" applyNumberFormat="1" applyFont="1" applyBorder="1" applyAlignment="1">
      <alignment horizontal="center"/>
    </xf>
    <xf numFmtId="1" fontId="7" fillId="0" borderId="2" xfId="7" applyNumberFormat="1" applyFont="1" applyBorder="1" applyAlignment="1">
      <alignment horizontal="center" vertical="center"/>
    </xf>
    <xf numFmtId="2" fontId="17" fillId="0" borderId="0" xfId="7" applyNumberFormat="1" applyFont="1" applyAlignment="1">
      <alignment horizontal="center" vertical="center"/>
    </xf>
    <xf numFmtId="0" fontId="6" fillId="0" borderId="0" xfId="7" applyFont="1" applyAlignment="1">
      <alignment horizontal="right"/>
    </xf>
    <xf numFmtId="10" fontId="6" fillId="0" borderId="0" xfId="10" applyNumberFormat="1" applyFont="1" applyAlignment="1">
      <alignment horizontal="center"/>
    </xf>
    <xf numFmtId="0" fontId="19" fillId="0" borderId="0" xfId="6" applyFont="1"/>
    <xf numFmtId="1" fontId="6" fillId="0" borderId="0" xfId="7" applyNumberFormat="1" applyFont="1" applyAlignment="1">
      <alignment horizontal="center"/>
    </xf>
    <xf numFmtId="0" fontId="15" fillId="5" borderId="0" xfId="11" applyFont="1" applyFill="1" applyAlignment="1">
      <alignment horizontal="left"/>
    </xf>
    <xf numFmtId="0" fontId="7" fillId="0" borderId="0" xfId="8" applyFont="1"/>
    <xf numFmtId="2" fontId="6" fillId="0" borderId="0" xfId="7" applyNumberFormat="1" applyFont="1" applyAlignment="1">
      <alignment horizontal="center"/>
    </xf>
    <xf numFmtId="0" fontId="21" fillId="0" borderId="0" xfId="11" applyFont="1"/>
    <xf numFmtId="0" fontId="18" fillId="0" borderId="0" xfId="12" applyProtection="1"/>
    <xf numFmtId="0" fontId="18" fillId="0" borderId="0" xfId="13" applyProtection="1"/>
    <xf numFmtId="187" fontId="18" fillId="0" borderId="0" xfId="13" applyNumberFormat="1" applyProtection="1"/>
    <xf numFmtId="0" fontId="22" fillId="0" borderId="0" xfId="7" applyFont="1" applyAlignment="1">
      <alignment horizontal="center"/>
    </xf>
    <xf numFmtId="0" fontId="22" fillId="0" borderId="0" xfId="7" applyFont="1"/>
    <xf numFmtId="15" fontId="22" fillId="0" borderId="0" xfId="7" applyNumberFormat="1" applyFont="1" applyAlignment="1">
      <alignment horizontal="center"/>
    </xf>
    <xf numFmtId="0" fontId="6" fillId="0" borderId="2" xfId="7" applyFont="1" applyBorder="1" applyAlignment="1">
      <alignment horizontal="center"/>
    </xf>
    <xf numFmtId="10" fontId="6" fillId="0" borderId="2" xfId="10" applyNumberFormat="1" applyFont="1" applyBorder="1" applyAlignment="1">
      <alignment horizontal="center"/>
    </xf>
    <xf numFmtId="0" fontId="7" fillId="0" borderId="6" xfId="0" applyFont="1" applyBorder="1" applyAlignment="1">
      <alignment horizontal="center" vertical="top" wrapText="1"/>
    </xf>
    <xf numFmtId="0" fontId="6" fillId="6" borderId="7" xfId="0" applyFont="1" applyFill="1" applyBorder="1"/>
    <xf numFmtId="0" fontId="6" fillId="6" borderId="7" xfId="7" applyFont="1" applyFill="1" applyBorder="1" applyAlignment="1">
      <alignment horizontal="center"/>
    </xf>
    <xf numFmtId="2" fontId="7" fillId="6" borderId="7" xfId="0" applyNumberFormat="1" applyFont="1" applyFill="1" applyBorder="1" applyAlignment="1">
      <alignment horizontal="right"/>
    </xf>
    <xf numFmtId="1" fontId="6" fillId="0" borderId="0" xfId="0" applyNumberFormat="1" applyFont="1" applyAlignment="1">
      <alignment horizontal="right"/>
    </xf>
    <xf numFmtId="0" fontId="6" fillId="0" borderId="0" xfId="0" applyFont="1" applyAlignment="1">
      <alignment horizontal="right"/>
    </xf>
    <xf numFmtId="0" fontId="24" fillId="5" borderId="0" xfId="0" applyFont="1" applyFill="1" applyAlignment="1">
      <alignment horizontal="left" vertical="top" wrapText="1"/>
    </xf>
    <xf numFmtId="0" fontId="24" fillId="5" borderId="0" xfId="0" applyFont="1" applyFill="1" applyAlignment="1">
      <alignment horizontal="right" vertical="top" wrapText="1"/>
    </xf>
    <xf numFmtId="0" fontId="8" fillId="0" borderId="0" xfId="0" applyFont="1"/>
    <xf numFmtId="0" fontId="25" fillId="0" borderId="0" xfId="0" applyFont="1" applyAlignment="1">
      <alignment horizontal="left" vertical="top" wrapText="1"/>
    </xf>
    <xf numFmtId="191" fontId="25" fillId="0" borderId="0" xfId="0" applyNumberFormat="1" applyFont="1" applyAlignment="1">
      <alignment horizontal="right" vertical="top" wrapText="1"/>
    </xf>
    <xf numFmtId="192" fontId="25" fillId="0" borderId="0" xfId="0" applyNumberFormat="1" applyFont="1" applyAlignment="1">
      <alignment horizontal="right" vertical="top" wrapText="1"/>
    </xf>
    <xf numFmtId="0" fontId="26" fillId="0" borderId="0" xfId="0" applyFont="1" applyAlignment="1">
      <alignment vertical="top" wrapText="1"/>
    </xf>
    <xf numFmtId="0" fontId="28" fillId="5" borderId="0" xfId="0" applyFont="1" applyFill="1" applyAlignment="1">
      <alignment horizontal="right"/>
    </xf>
    <xf numFmtId="0" fontId="22" fillId="0" borderId="0" xfId="0" applyFont="1" applyAlignment="1">
      <alignment horizontal="right"/>
    </xf>
    <xf numFmtId="193" fontId="6" fillId="0" borderId="0" xfId="0" applyNumberFormat="1" applyFont="1" applyAlignment="1">
      <alignment horizontal="right"/>
    </xf>
    <xf numFmtId="193" fontId="6" fillId="0" borderId="0" xfId="0" applyNumberFormat="1" applyFont="1"/>
    <xf numFmtId="185" fontId="6" fillId="0" borderId="0" xfId="5" applyNumberFormat="1" applyFont="1" applyAlignment="1">
      <alignment horizontal="right"/>
    </xf>
    <xf numFmtId="0" fontId="24" fillId="5" borderId="0" xfId="0" applyFont="1" applyFill="1"/>
    <xf numFmtId="0" fontId="28" fillId="5" borderId="0" xfId="0" applyFont="1" applyFill="1"/>
    <xf numFmtId="0" fontId="22" fillId="0" borderId="0" xfId="0" applyFont="1"/>
    <xf numFmtId="10" fontId="6" fillId="7" borderId="8" xfId="0" applyNumberFormat="1" applyFont="1" applyFill="1" applyBorder="1"/>
    <xf numFmtId="10" fontId="18" fillId="4" borderId="8" xfId="0" applyNumberFormat="1" applyFont="1" applyFill="1" applyBorder="1"/>
    <xf numFmtId="2" fontId="6" fillId="7" borderId="8" xfId="0" applyNumberFormat="1" applyFont="1" applyFill="1" applyBorder="1"/>
    <xf numFmtId="194" fontId="18" fillId="4" borderId="8" xfId="0" applyNumberFormat="1" applyFont="1" applyFill="1" applyBorder="1"/>
    <xf numFmtId="10" fontId="6" fillId="4" borderId="8" xfId="0" applyNumberFormat="1" applyFont="1" applyFill="1" applyBorder="1"/>
    <xf numFmtId="10" fontId="6" fillId="7" borderId="8" xfId="5" applyNumberFormat="1" applyFont="1" applyFill="1" applyBorder="1"/>
    <xf numFmtId="9" fontId="6" fillId="7" borderId="8" xfId="0" applyNumberFormat="1" applyFont="1" applyFill="1" applyBorder="1"/>
    <xf numFmtId="185" fontId="6" fillId="7" borderId="8" xfId="0" applyNumberFormat="1" applyFont="1" applyFill="1" applyBorder="1"/>
    <xf numFmtId="3" fontId="6" fillId="7" borderId="8" xfId="0" applyNumberFormat="1" applyFont="1" applyFill="1" applyBorder="1"/>
    <xf numFmtId="0" fontId="7" fillId="0" borderId="0" xfId="0" applyFont="1" applyAlignment="1">
      <alignment horizontal="right"/>
    </xf>
    <xf numFmtId="0" fontId="7" fillId="0" borderId="2" xfId="0" applyFont="1" applyBorder="1" applyAlignment="1">
      <alignment horizontal="right"/>
    </xf>
    <xf numFmtId="0" fontId="7" fillId="0" borderId="2" xfId="0" applyFont="1" applyBorder="1"/>
    <xf numFmtId="195" fontId="6" fillId="0" borderId="0" xfId="14" applyNumberFormat="1" applyFont="1"/>
    <xf numFmtId="176" fontId="6" fillId="4" borderId="8" xfId="14" applyFont="1" applyFill="1" applyBorder="1"/>
    <xf numFmtId="195" fontId="6" fillId="4" borderId="8" xfId="14" applyNumberFormat="1" applyFont="1" applyFill="1" applyBorder="1"/>
    <xf numFmtId="195" fontId="6" fillId="0" borderId="2" xfId="14" applyNumberFormat="1" applyFont="1" applyBorder="1"/>
    <xf numFmtId="195" fontId="6" fillId="4" borderId="9" xfId="14" applyNumberFormat="1" applyFont="1" applyFill="1" applyBorder="1"/>
    <xf numFmtId="0" fontId="29" fillId="0" borderId="0" xfId="0" applyFont="1"/>
    <xf numFmtId="195" fontId="6" fillId="4" borderId="10" xfId="14" applyNumberFormat="1" applyFont="1" applyFill="1" applyBorder="1"/>
    <xf numFmtId="3" fontId="6" fillId="0" borderId="0" xfId="0" applyNumberFormat="1" applyFont="1"/>
    <xf numFmtId="190" fontId="6" fillId="4" borderId="10" xfId="0" applyNumberFormat="1" applyFont="1" applyFill="1" applyBorder="1"/>
    <xf numFmtId="190" fontId="6" fillId="0" borderId="0" xfId="0" applyNumberFormat="1" applyFont="1"/>
    <xf numFmtId="3" fontId="6" fillId="4" borderId="8" xfId="0" applyNumberFormat="1" applyFont="1" applyFill="1" applyBorder="1"/>
    <xf numFmtId="184" fontId="6" fillId="4" borderId="8" xfId="0" applyNumberFormat="1" applyFont="1" applyFill="1" applyBorder="1"/>
    <xf numFmtId="0" fontId="33" fillId="2" borderId="0" xfId="0" applyFont="1" applyFill="1"/>
    <xf numFmtId="0" fontId="34" fillId="2" borderId="0" xfId="0" applyFont="1" applyFill="1"/>
    <xf numFmtId="0" fontId="34" fillId="0" borderId="0" xfId="0" applyFont="1"/>
    <xf numFmtId="0" fontId="35" fillId="0" borderId="0" xfId="0" applyFont="1"/>
    <xf numFmtId="43" fontId="35" fillId="3" borderId="1" xfId="1" applyFont="1" applyFill="1" applyBorder="1" applyAlignment="1">
      <alignment horizontal="center"/>
    </xf>
    <xf numFmtId="43" fontId="34" fillId="0" borderId="1" xfId="1" applyFont="1" applyBorder="1" applyAlignment="1"/>
    <xf numFmtId="43" fontId="34" fillId="0" borderId="1" xfId="1" applyFont="1" applyBorder="1" applyAlignment="1">
      <alignment horizontal="center"/>
    </xf>
    <xf numFmtId="180" fontId="34" fillId="0" borderId="1" xfId="1" applyNumberFormat="1" applyFont="1" applyBorder="1" applyAlignment="1">
      <alignment horizontal="center"/>
    </xf>
    <xf numFmtId="181" fontId="34" fillId="0" borderId="1" xfId="1" applyNumberFormat="1" applyFont="1" applyBorder="1" applyAlignment="1">
      <alignment horizontal="center"/>
    </xf>
    <xf numFmtId="0" fontId="37" fillId="0" borderId="0" xfId="0" applyFont="1" applyAlignment="1">
      <alignment horizontal="right"/>
    </xf>
    <xf numFmtId="0" fontId="35" fillId="3" borderId="0" xfId="0" applyFont="1" applyFill="1"/>
    <xf numFmtId="0" fontId="38" fillId="3" borderId="0" xfId="0" applyFont="1" applyFill="1"/>
    <xf numFmtId="0" fontId="35" fillId="3" borderId="0" xfId="0" applyFont="1" applyFill="1" applyAlignment="1">
      <alignment horizontal="right"/>
    </xf>
    <xf numFmtId="0" fontId="39" fillId="2" borderId="1" xfId="0" applyFont="1" applyFill="1" applyBorder="1" applyAlignment="1">
      <alignment horizontal="center"/>
    </xf>
    <xf numFmtId="0" fontId="34" fillId="0" borderId="1" xfId="0" applyFont="1" applyBorder="1" applyAlignment="1">
      <alignment horizontal="center"/>
    </xf>
    <xf numFmtId="0" fontId="34" fillId="0" borderId="1" xfId="0" applyFont="1" applyBorder="1"/>
    <xf numFmtId="0" fontId="37" fillId="3" borderId="0" xfId="0" applyFont="1" applyFill="1"/>
    <xf numFmtId="0" fontId="34" fillId="3" borderId="0" xfId="0" applyFont="1" applyFill="1"/>
    <xf numFmtId="0" fontId="37" fillId="3" borderId="0" xfId="0" applyFont="1" applyFill="1" applyAlignment="1">
      <alignment horizontal="right"/>
    </xf>
    <xf numFmtId="0" fontId="34" fillId="3" borderId="0" xfId="0" applyFont="1" applyFill="1" applyAlignment="1">
      <alignment horizontal="left" indent="3"/>
    </xf>
    <xf numFmtId="0" fontId="38" fillId="0" borderId="0" xfId="0" applyFont="1" applyFill="1" applyBorder="1" applyAlignment="1">
      <alignment horizontal="center"/>
    </xf>
    <xf numFmtId="0" fontId="38" fillId="0" borderId="0" xfId="0" applyFont="1" applyFill="1" applyBorder="1" applyAlignment="1">
      <alignment horizontal="left"/>
    </xf>
    <xf numFmtId="0" fontId="38" fillId="0" borderId="0" xfId="0" applyFont="1" applyFill="1" applyBorder="1"/>
    <xf numFmtId="43" fontId="39" fillId="2" borderId="1" xfId="1" applyFont="1" applyFill="1" applyBorder="1" applyAlignment="1">
      <alignment horizontal="center"/>
    </xf>
    <xf numFmtId="0" fontId="39" fillId="2" borderId="0" xfId="0" applyFont="1" applyFill="1" applyAlignment="1">
      <alignment horizontal="center"/>
    </xf>
    <xf numFmtId="0" fontId="34" fillId="0" borderId="0" xfId="0" applyFont="1" applyAlignment="1">
      <alignment horizontal="center"/>
    </xf>
    <xf numFmtId="178" fontId="34" fillId="0" borderId="0" xfId="1" applyNumberFormat="1" applyFont="1" applyAlignment="1">
      <alignment horizontal="center"/>
    </xf>
    <xf numFmtId="179" fontId="34" fillId="0" borderId="0" xfId="0" applyNumberFormat="1" applyFont="1" applyBorder="1"/>
    <xf numFmtId="0" fontId="34" fillId="0" borderId="0" xfId="0" applyFont="1" applyBorder="1"/>
    <xf numFmtId="0" fontId="37" fillId="0" borderId="0" xfId="0" applyFont="1"/>
    <xf numFmtId="0" fontId="34" fillId="8" borderId="0" xfId="0" applyFont="1" applyFill="1"/>
    <xf numFmtId="9" fontId="34" fillId="0" borderId="0" xfId="0" applyNumberFormat="1" applyFont="1"/>
    <xf numFmtId="0" fontId="34" fillId="0" borderId="11" xfId="0" applyFont="1" applyBorder="1"/>
    <xf numFmtId="185" fontId="34" fillId="8" borderId="1" xfId="15" applyNumberFormat="1" applyFont="1" applyFill="1" applyBorder="1" applyAlignment="1">
      <alignment horizontal="center"/>
    </xf>
    <xf numFmtId="0" fontId="34" fillId="0" borderId="0" xfId="0" applyFont="1" applyFill="1"/>
    <xf numFmtId="0" fontId="37" fillId="0" borderId="0" xfId="0" applyFont="1" applyFill="1"/>
    <xf numFmtId="196" fontId="34" fillId="0" borderId="0" xfId="1" applyNumberFormat="1" applyFont="1" applyBorder="1" applyAlignment="1"/>
    <xf numFmtId="196" fontId="34" fillId="0" borderId="2" xfId="1" applyNumberFormat="1" applyFont="1" applyBorder="1" applyAlignment="1"/>
    <xf numFmtId="0" fontId="34" fillId="0" borderId="1" xfId="0" applyFont="1" applyFill="1" applyBorder="1"/>
    <xf numFmtId="196" fontId="34" fillId="8" borderId="1" xfId="1" applyNumberFormat="1" applyFont="1" applyFill="1" applyBorder="1" applyAlignment="1"/>
    <xf numFmtId="0" fontId="33" fillId="2" borderId="0" xfId="0" applyFont="1" applyFill="1" applyAlignment="1">
      <alignment horizontal="centerContinuous"/>
    </xf>
    <xf numFmtId="0" fontId="33" fillId="2" borderId="0" xfId="0" applyFont="1" applyFill="1" applyAlignment="1">
      <alignment horizontal="center"/>
    </xf>
    <xf numFmtId="0" fontId="40" fillId="0" borderId="0" xfId="0" applyFont="1"/>
    <xf numFmtId="196" fontId="34" fillId="8" borderId="0" xfId="1" applyNumberFormat="1" applyFont="1" applyFill="1" applyAlignment="1"/>
    <xf numFmtId="0" fontId="34" fillId="8" borderId="1" xfId="0" applyFont="1" applyFill="1" applyBorder="1"/>
    <xf numFmtId="0" fontId="41" fillId="3" borderId="0" xfId="0" applyFont="1" applyFill="1"/>
    <xf numFmtId="0" fontId="34" fillId="0" borderId="0" xfId="0" applyFont="1" applyAlignment="1">
      <alignment horizontal="left" vertical="center" wrapText="1"/>
    </xf>
    <xf numFmtId="0" fontId="34" fillId="0" borderId="0" xfId="0" applyFont="1" applyAlignment="1"/>
    <xf numFmtId="0" fontId="34" fillId="3" borderId="0" xfId="0" applyFont="1" applyFill="1" applyAlignment="1"/>
    <xf numFmtId="0" fontId="43" fillId="0" borderId="0" xfId="0" applyFont="1" applyAlignment="1">
      <alignment horizontal="left" vertical="center" wrapText="1"/>
    </xf>
    <xf numFmtId="0" fontId="43" fillId="0" borderId="0" xfId="0" applyFont="1" applyAlignment="1">
      <alignment horizontal="justify" vertical="center"/>
    </xf>
    <xf numFmtId="0" fontId="37" fillId="0" borderId="11" xfId="0" applyFont="1" applyBorder="1"/>
    <xf numFmtId="0" fontId="34" fillId="0" borderId="3" xfId="0" applyFont="1" applyBorder="1"/>
    <xf numFmtId="196" fontId="34" fillId="8" borderId="3" xfId="0" applyNumberFormat="1" applyFont="1" applyFill="1" applyBorder="1"/>
    <xf numFmtId="196" fontId="34" fillId="8" borderId="12" xfId="0" applyNumberFormat="1" applyFont="1" applyFill="1" applyBorder="1"/>
    <xf numFmtId="0" fontId="37" fillId="0" borderId="15" xfId="0" applyFont="1" applyBorder="1"/>
    <xf numFmtId="0" fontId="34" fillId="0" borderId="2" xfId="0" applyFont="1" applyBorder="1"/>
    <xf numFmtId="0" fontId="34" fillId="8" borderId="2" xfId="0" applyFont="1" applyFill="1" applyBorder="1"/>
    <xf numFmtId="0" fontId="34" fillId="8" borderId="16" xfId="0" applyFont="1" applyFill="1" applyBorder="1"/>
    <xf numFmtId="14" fontId="34" fillId="0" borderId="3" xfId="0" applyNumberFormat="1" applyFont="1" applyBorder="1"/>
    <xf numFmtId="14" fontId="34" fillId="0" borderId="12" xfId="0" applyNumberFormat="1" applyFont="1" applyBorder="1"/>
    <xf numFmtId="0" fontId="34" fillId="0" borderId="13" xfId="0" applyFont="1" applyBorder="1"/>
    <xf numFmtId="0" fontId="34" fillId="0" borderId="14" xfId="0" applyFont="1" applyBorder="1"/>
    <xf numFmtId="0" fontId="37" fillId="0" borderId="13" xfId="0" applyFont="1" applyBorder="1"/>
    <xf numFmtId="0" fontId="38" fillId="0" borderId="13" xfId="16" applyFont="1" applyBorder="1" applyAlignment="1">
      <alignment horizontal="left" indent="1"/>
    </xf>
    <xf numFmtId="0" fontId="34" fillId="8" borderId="0" xfId="0" applyFont="1" applyFill="1" applyBorder="1"/>
    <xf numFmtId="0" fontId="34" fillId="8" borderId="14" xfId="0" applyFont="1" applyFill="1" applyBorder="1"/>
    <xf numFmtId="9" fontId="34" fillId="0" borderId="0" xfId="0" applyNumberFormat="1" applyFont="1" applyBorder="1"/>
    <xf numFmtId="0" fontId="34" fillId="0" borderId="15" xfId="0" applyFont="1" applyBorder="1"/>
    <xf numFmtId="9" fontId="34" fillId="0" borderId="2" xfId="0" applyNumberFormat="1" applyFont="1" applyBorder="1"/>
    <xf numFmtId="197" fontId="34" fillId="0" borderId="1" xfId="1" applyNumberFormat="1" applyFont="1" applyBorder="1" applyAlignment="1">
      <alignment horizontal="center"/>
    </xf>
    <xf numFmtId="57" fontId="34" fillId="0" borderId="5" xfId="0" applyNumberFormat="1" applyFont="1" applyBorder="1"/>
    <xf numFmtId="57" fontId="34" fillId="8" borderId="1" xfId="0" applyNumberFormat="1" applyFont="1" applyFill="1" applyBorder="1"/>
    <xf numFmtId="57" fontId="34" fillId="0" borderId="17" xfId="0" applyNumberFormat="1" applyFont="1" applyBorder="1"/>
    <xf numFmtId="57" fontId="34" fillId="0" borderId="18" xfId="0" applyNumberFormat="1" applyFont="1" applyBorder="1"/>
    <xf numFmtId="9" fontId="34" fillId="8" borderId="1" xfId="15" applyFont="1" applyFill="1" applyBorder="1" applyAlignment="1"/>
    <xf numFmtId="43" fontId="34" fillId="0" borderId="0" xfId="0" applyNumberFormat="1" applyFont="1"/>
    <xf numFmtId="0" fontId="40" fillId="0" borderId="0" xfId="0" applyFont="1" applyAlignment="1"/>
    <xf numFmtId="0" fontId="34" fillId="0" borderId="17" xfId="0" applyFont="1" applyBorder="1" applyAlignment="1">
      <alignment horizontal="center"/>
    </xf>
    <xf numFmtId="0" fontId="34" fillId="0" borderId="18" xfId="0" applyFont="1" applyBorder="1" applyAlignment="1">
      <alignment horizontal="center"/>
    </xf>
    <xf numFmtId="0" fontId="37" fillId="0" borderId="5" xfId="0" applyFont="1" applyFill="1" applyBorder="1" applyAlignment="1">
      <alignment horizontal="centerContinuous"/>
    </xf>
    <xf numFmtId="0" fontId="37" fillId="0" borderId="0" xfId="0" applyFont="1" applyFill="1" applyAlignment="1">
      <alignment horizontal="right"/>
    </xf>
    <xf numFmtId="2" fontId="34" fillId="8" borderId="1" xfId="0" applyNumberFormat="1" applyFont="1" applyFill="1" applyBorder="1"/>
    <xf numFmtId="0" fontId="34" fillId="8" borderId="1" xfId="0" applyFont="1" applyFill="1" applyBorder="1" applyAlignment="1">
      <alignment horizontal="center"/>
    </xf>
    <xf numFmtId="178" fontId="34" fillId="8" borderId="0" xfId="1" applyNumberFormat="1" applyFont="1" applyFill="1" applyAlignment="1">
      <alignment horizontal="center"/>
    </xf>
    <xf numFmtId="43" fontId="34" fillId="8" borderId="0" xfId="0" applyNumberFormat="1" applyFont="1" applyFill="1" applyBorder="1"/>
    <xf numFmtId="196" fontId="34" fillId="0" borderId="0" xfId="0" applyNumberFormat="1" applyFont="1"/>
    <xf numFmtId="43" fontId="34" fillId="8" borderId="14" xfId="0" applyNumberFormat="1" applyFont="1" applyFill="1" applyBorder="1"/>
    <xf numFmtId="0" fontId="34" fillId="0" borderId="0" xfId="0" applyFont="1" applyFill="1" applyBorder="1"/>
    <xf numFmtId="196" fontId="34" fillId="0" borderId="0" xfId="1" applyNumberFormat="1" applyFont="1" applyFill="1" applyBorder="1" applyAlignment="1"/>
    <xf numFmtId="0" fontId="34" fillId="0" borderId="2" xfId="0" applyFont="1" applyFill="1" applyBorder="1"/>
    <xf numFmtId="196" fontId="34" fillId="0" borderId="3" xfId="0" applyNumberFormat="1" applyFont="1" applyFill="1" applyBorder="1"/>
    <xf numFmtId="198" fontId="33" fillId="2" borderId="0" xfId="0" applyNumberFormat="1" applyFont="1" applyFill="1" applyAlignment="1">
      <alignment horizontal="center"/>
    </xf>
    <xf numFmtId="3" fontId="33" fillId="2" borderId="0" xfId="0" applyNumberFormat="1" applyFont="1" applyFill="1" applyAlignment="1">
      <alignment horizontal="right" vertical="center" textRotation="90"/>
    </xf>
    <xf numFmtId="0" fontId="34" fillId="0" borderId="1" xfId="0" applyFont="1" applyFill="1" applyBorder="1" applyAlignment="1">
      <alignment horizontal="center" vertical="center"/>
    </xf>
    <xf numFmtId="0" fontId="34" fillId="0" borderId="1" xfId="0" applyFont="1" applyBorder="1" applyAlignment="1">
      <alignment horizontal="center" vertical="center"/>
    </xf>
    <xf numFmtId="0" fontId="41" fillId="0" borderId="0" xfId="0" applyFont="1" applyFill="1" applyAlignment="1">
      <alignment horizontal="left" wrapText="1"/>
    </xf>
    <xf numFmtId="0" fontId="41" fillId="0" borderId="0" xfId="0" applyFont="1" applyFill="1" applyAlignment="1">
      <alignment horizontal="left"/>
    </xf>
    <xf numFmtId="0" fontId="42" fillId="0" borderId="0" xfId="0" applyFont="1" applyFill="1" applyAlignment="1">
      <alignment horizontal="left" wrapText="1" indent="1"/>
    </xf>
    <xf numFmtId="0" fontId="42" fillId="0" borderId="0" xfId="0" applyFont="1" applyFill="1" applyAlignment="1">
      <alignment horizontal="left" indent="1"/>
    </xf>
    <xf numFmtId="0" fontId="38" fillId="0" borderId="0" xfId="0" applyFont="1" applyAlignment="1">
      <alignment horizontal="left" vertical="center" wrapText="1"/>
    </xf>
    <xf numFmtId="189" fontId="6" fillId="0" borderId="0" xfId="7" applyNumberFormat="1" applyFont="1" applyAlignment="1">
      <alignment horizontal="center"/>
    </xf>
    <xf numFmtId="0" fontId="4" fillId="5" borderId="0" xfId="0" applyFont="1" applyFill="1" applyAlignment="1">
      <alignment horizontal="left" vertical="top" wrapText="1"/>
    </xf>
  </cellXfs>
  <cellStyles count="17">
    <cellStyle name="_x000a_386grabber=M" xfId="8" xr:uid="{44832EB6-4839-44EB-A718-41367BBA2476}"/>
    <cellStyle name="AFE 2" xfId="12" xr:uid="{77FF512D-B646-40AF-B7A5-81AE37EF30D3}"/>
    <cellStyle name="Comma" xfId="1" builtinId="3"/>
    <cellStyle name="Comma 4" xfId="2" xr:uid="{38C5BF18-7F15-44F4-B8A6-14333C9A9DAE}"/>
    <cellStyle name="Currency 3" xfId="4" xr:uid="{1C58B189-3A53-488F-AD38-A125FDCFE86E}"/>
    <cellStyle name="Hyperlink" xfId="6" builtinId="8"/>
    <cellStyle name="Normal" xfId="0" builtinId="0"/>
    <cellStyle name="Normal 2" xfId="16" xr:uid="{B8842F15-AC59-4AAA-9822-5CEA59DE8F48}"/>
    <cellStyle name="Normal 3" xfId="3" xr:uid="{546B0B67-3746-44E8-B62A-6BBC653C0473}"/>
    <cellStyle name="Normal 3 3" xfId="7" xr:uid="{3476B843-16D6-421D-AE61-4AF0058E65B4}"/>
    <cellStyle name="Normal 5" xfId="13" xr:uid="{25B17F0F-BFCF-47B1-9804-86E94D5B0321}"/>
    <cellStyle name="Normal_Ch01 Pics v2.2" xfId="11" xr:uid="{BE323469-0048-4E50-98E8-C9BEEFD501E4}"/>
    <cellStyle name="Percent" xfId="15" builtinId="5"/>
    <cellStyle name="Percent 2 3" xfId="9" xr:uid="{26AB988F-F2FE-413E-9229-47690ABC38EC}"/>
    <cellStyle name="Percent 4" xfId="10" xr:uid="{A85DA37C-5081-4CAC-8F7C-9E42E520C56E}"/>
    <cellStyle name="百分比 2" xfId="5" xr:uid="{3E278AB1-4C50-46FE-8B18-DEB2067343D5}"/>
    <cellStyle name="货币 2" xfId="14" xr:uid="{5A272E98-B286-43E4-A6DF-9D47D99F0F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tmp"/></Relationships>
</file>

<file path=xl/drawings/drawing1.xml><?xml version="1.0" encoding="utf-8"?>
<xdr:wsDr xmlns:xdr="http://schemas.openxmlformats.org/drawingml/2006/spreadsheetDrawing" xmlns:a="http://schemas.openxmlformats.org/drawingml/2006/main">
  <xdr:twoCellAnchor editAs="oneCell">
    <xdr:from>
      <xdr:col>1</xdr:col>
      <xdr:colOff>7991475</xdr:colOff>
      <xdr:row>1</xdr:row>
      <xdr:rowOff>0</xdr:rowOff>
    </xdr:from>
    <xdr:to>
      <xdr:col>2</xdr:col>
      <xdr:colOff>7060</xdr:colOff>
      <xdr:row>3</xdr:row>
      <xdr:rowOff>148681</xdr:rowOff>
    </xdr:to>
    <xdr:pic>
      <xdr:nvPicPr>
        <xdr:cNvPr id="4" name="图片 1">
          <a:extLst>
            <a:ext uri="{FF2B5EF4-FFF2-40B4-BE49-F238E27FC236}">
              <a16:creationId xmlns:a16="http://schemas.microsoft.com/office/drawing/2014/main" id="{DB2F1B6B-BA8C-425C-B681-316C0B7BF0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15300" y="171450"/>
          <a:ext cx="1416760" cy="491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681992</xdr:colOff>
      <xdr:row>0</xdr:row>
      <xdr:rowOff>167641</xdr:rowOff>
    </xdr:from>
    <xdr:to>
      <xdr:col>12</xdr:col>
      <xdr:colOff>476250</xdr:colOff>
      <xdr:row>4</xdr:row>
      <xdr:rowOff>1735</xdr:rowOff>
    </xdr:to>
    <xdr:pic>
      <xdr:nvPicPr>
        <xdr:cNvPr id="2" name="图片 1">
          <a:extLst>
            <a:ext uri="{FF2B5EF4-FFF2-40B4-BE49-F238E27FC236}">
              <a16:creationId xmlns:a16="http://schemas.microsoft.com/office/drawing/2014/main" id="{265E3CE1-5282-4894-AF0C-44757F12C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2192" y="171451"/>
          <a:ext cx="1476373" cy="630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512445</xdr:colOff>
      <xdr:row>47</xdr:row>
      <xdr:rowOff>23232</xdr:rowOff>
    </xdr:from>
    <xdr:to>
      <xdr:col>11</xdr:col>
      <xdr:colOff>1008863</xdr:colOff>
      <xdr:row>56</xdr:row>
      <xdr:rowOff>172590</xdr:rowOff>
    </xdr:to>
    <xdr:pic>
      <xdr:nvPicPr>
        <xdr:cNvPr id="3" name="图片 2">
          <a:extLst>
            <a:ext uri="{FF2B5EF4-FFF2-40B4-BE49-F238E27FC236}">
              <a16:creationId xmlns:a16="http://schemas.microsoft.com/office/drawing/2014/main" id="{C50C9B35-98BE-48B9-A174-ACE54D855CF8}"/>
            </a:ext>
          </a:extLst>
        </xdr:cNvPr>
        <xdr:cNvPicPr>
          <a:picLocks noChangeAspect="1"/>
        </xdr:cNvPicPr>
      </xdr:nvPicPr>
      <xdr:blipFill>
        <a:blip xmlns:r="http://schemas.openxmlformats.org/officeDocument/2006/relationships" r:embed="rId2"/>
        <a:stretch>
          <a:fillRect/>
        </a:stretch>
      </xdr:blipFill>
      <xdr:spPr>
        <a:xfrm>
          <a:off x="12685860" y="8758354"/>
          <a:ext cx="2796357" cy="1822041"/>
        </a:xfrm>
        <a:prstGeom prst="rect">
          <a:avLst/>
        </a:prstGeom>
      </xdr:spPr>
    </xdr:pic>
    <xdr:clientData/>
  </xdr:twoCellAnchor>
  <xdr:oneCellAnchor>
    <xdr:from>
      <xdr:col>9</xdr:col>
      <xdr:colOff>144780</xdr:colOff>
      <xdr:row>67</xdr:row>
      <xdr:rowOff>83820</xdr:rowOff>
    </xdr:from>
    <xdr:ext cx="3494435" cy="1951339"/>
    <xdr:pic>
      <xdr:nvPicPr>
        <xdr:cNvPr id="4" name="图片 3">
          <a:extLst>
            <a:ext uri="{FF2B5EF4-FFF2-40B4-BE49-F238E27FC236}">
              <a16:creationId xmlns:a16="http://schemas.microsoft.com/office/drawing/2014/main" id="{4A9EE5E1-4E3C-4980-93DB-58249E86B106}"/>
            </a:ext>
          </a:extLst>
        </xdr:cNvPr>
        <xdr:cNvPicPr>
          <a:picLocks noChangeAspect="1"/>
        </xdr:cNvPicPr>
      </xdr:nvPicPr>
      <xdr:blipFill>
        <a:blip xmlns:r="http://schemas.openxmlformats.org/officeDocument/2006/relationships" r:embed="rId3"/>
        <a:stretch>
          <a:fillRect/>
        </a:stretch>
      </xdr:blipFill>
      <xdr:spPr>
        <a:xfrm>
          <a:off x="11106150" y="13487400"/>
          <a:ext cx="3494435" cy="1951339"/>
        </a:xfrm>
        <a:prstGeom prst="rect">
          <a:avLst/>
        </a:prstGeom>
      </xdr:spPr>
    </xdr:pic>
    <xdr:clientData/>
  </xdr:oneCellAnchor>
  <xdr:oneCellAnchor>
    <xdr:from>
      <xdr:col>9</xdr:col>
      <xdr:colOff>152401</xdr:colOff>
      <xdr:row>81</xdr:row>
      <xdr:rowOff>77892</xdr:rowOff>
    </xdr:from>
    <xdr:ext cx="3501390" cy="2010594"/>
    <xdr:pic>
      <xdr:nvPicPr>
        <xdr:cNvPr id="5" name="图片 4">
          <a:extLst>
            <a:ext uri="{FF2B5EF4-FFF2-40B4-BE49-F238E27FC236}">
              <a16:creationId xmlns:a16="http://schemas.microsoft.com/office/drawing/2014/main" id="{FF3167A2-7D16-4FA2-B98B-B737FA02A4B2}"/>
            </a:ext>
          </a:extLst>
        </xdr:cNvPr>
        <xdr:cNvPicPr>
          <a:picLocks noChangeAspect="1"/>
        </xdr:cNvPicPr>
      </xdr:nvPicPr>
      <xdr:blipFill>
        <a:blip xmlns:r="http://schemas.openxmlformats.org/officeDocument/2006/relationships" r:embed="rId4"/>
        <a:stretch>
          <a:fillRect/>
        </a:stretch>
      </xdr:blipFill>
      <xdr:spPr>
        <a:xfrm>
          <a:off x="11115676" y="16279917"/>
          <a:ext cx="3501390" cy="2010594"/>
        </a:xfrm>
        <a:prstGeom prst="rect">
          <a:avLst/>
        </a:prstGeom>
      </xdr:spPr>
    </xdr:pic>
    <xdr:clientData/>
  </xdr:oneCellAnchor>
  <xdr:oneCellAnchor>
    <xdr:from>
      <xdr:col>9</xdr:col>
      <xdr:colOff>266700</xdr:colOff>
      <xdr:row>95</xdr:row>
      <xdr:rowOff>47898</xdr:rowOff>
    </xdr:from>
    <xdr:ext cx="3543300" cy="2074783"/>
    <xdr:pic>
      <xdr:nvPicPr>
        <xdr:cNvPr id="6" name="图片 5">
          <a:extLst>
            <a:ext uri="{FF2B5EF4-FFF2-40B4-BE49-F238E27FC236}">
              <a16:creationId xmlns:a16="http://schemas.microsoft.com/office/drawing/2014/main" id="{DD8CF47B-ABD3-449B-B327-BC9A679FC5B2}"/>
            </a:ext>
          </a:extLst>
        </xdr:cNvPr>
        <xdr:cNvPicPr>
          <a:picLocks noChangeAspect="1"/>
        </xdr:cNvPicPr>
      </xdr:nvPicPr>
      <xdr:blipFill>
        <a:blip xmlns:r="http://schemas.openxmlformats.org/officeDocument/2006/relationships" r:embed="rId5"/>
        <a:stretch>
          <a:fillRect/>
        </a:stretch>
      </xdr:blipFill>
      <xdr:spPr>
        <a:xfrm>
          <a:off x="11229975" y="19052178"/>
          <a:ext cx="3543300" cy="207478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11</xdr:col>
      <xdr:colOff>371475</xdr:colOff>
      <xdr:row>0</xdr:row>
      <xdr:rowOff>0</xdr:rowOff>
    </xdr:from>
    <xdr:to>
      <xdr:col>14</xdr:col>
      <xdr:colOff>19049</xdr:colOff>
      <xdr:row>3</xdr:row>
      <xdr:rowOff>18879</xdr:rowOff>
    </xdr:to>
    <xdr:pic>
      <xdr:nvPicPr>
        <xdr:cNvPr id="4" name="图片 3">
          <a:extLst>
            <a:ext uri="{FF2B5EF4-FFF2-40B4-BE49-F238E27FC236}">
              <a16:creationId xmlns:a16="http://schemas.microsoft.com/office/drawing/2014/main" id="{5312894C-6BDD-4740-8483-F16E200331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25" y="0"/>
          <a:ext cx="1483994" cy="618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195006</xdr:colOff>
      <xdr:row>26</xdr:row>
      <xdr:rowOff>9524</xdr:rowOff>
    </xdr:to>
    <xdr:pic>
      <xdr:nvPicPr>
        <xdr:cNvPr id="2" name="Picture 1" descr="Screen Clipping">
          <a:extLst>
            <a:ext uri="{FF2B5EF4-FFF2-40B4-BE49-F238E27FC236}">
              <a16:creationId xmlns:a16="http://schemas.microsoft.com/office/drawing/2014/main" id="{35889469-2EAA-4FA1-B23A-A189C6C397D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071"/>
        <a:stretch/>
      </xdr:blipFill>
      <xdr:spPr>
        <a:xfrm>
          <a:off x="0" y="0"/>
          <a:ext cx="8234106" cy="45662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image" Target="../media/image7.jpeg"/></Relationships>
</file>

<file path=xl/worksheets/_rels/sheet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image" Target="../media/image7.jpeg"/></Relationships>
</file>

<file path=xl/worksheets/_rels/sheet5.xml.rels><?xml version="1.0" encoding="UTF-8" standalone="yes"?>
<Relationships xmlns="http://schemas.openxmlformats.org/package/2006/relationships"><Relationship Id="rId1" Type="http://schemas.openxmlformats.org/officeDocument/2006/relationships/image" Target="../media/image7.jpeg"/></Relationships>
</file>

<file path=xl/worksheets/_rels/sheet6.xml.rels><?xml version="1.0" encoding="UTF-8" standalone="yes"?>
<Relationships xmlns="http://schemas.openxmlformats.org/package/2006/relationships"><Relationship Id="rId1" Type="http://schemas.openxmlformats.org/officeDocument/2006/relationships/image" Target="../media/image7.jpeg"/></Relationships>
</file>

<file path=xl/worksheets/_rels/sheet7.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hyperlink" Target="https://www.treasury.gov/resource-center/data-chart-center/interest-rates/Pages/TextView.aspx?data=yieldYear&amp;year=2017" TargetMode="External"/><Relationship Id="rId1" Type="http://schemas.openxmlformats.org/officeDocument/2006/relationships/hyperlink" Target="http://finra-markets.morningstar.com/BondCenter/Default.jsp" TargetMode="External"/></Relationships>
</file>

<file path=xl/worksheets/_rels/sheet8.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image" Target="../media/image7.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98036-9954-4D4A-AD27-3BCBEDA4FDFB}">
  <dimension ref="A1:B12"/>
  <sheetViews>
    <sheetView showGridLines="0" zoomScale="79" zoomScaleNormal="145" workbookViewId="0"/>
  </sheetViews>
  <sheetFormatPr defaultColWidth="8.83203125" defaultRowHeight="14.5" x14ac:dyDescent="0.35"/>
  <cols>
    <col min="1" max="1" width="1.58203125" style="128" customWidth="1"/>
    <col min="2" max="2" width="123.33203125" style="128" customWidth="1"/>
    <col min="3" max="16384" width="8.83203125" style="128"/>
  </cols>
  <sheetData>
    <row r="1" spans="1:2" ht="13.5" customHeight="1" x14ac:dyDescent="0.35"/>
    <row r="2" spans="1:2" ht="13.5" customHeight="1" x14ac:dyDescent="0.35">
      <c r="B2" s="126" t="s">
        <v>9</v>
      </c>
    </row>
    <row r="3" spans="1:2" ht="13.5" customHeight="1" x14ac:dyDescent="0.35"/>
    <row r="4" spans="1:2" ht="60" customHeight="1" x14ac:dyDescent="0.35">
      <c r="B4" s="175" t="s">
        <v>352</v>
      </c>
    </row>
    <row r="5" spans="1:2" ht="13.5" customHeight="1" x14ac:dyDescent="0.35">
      <c r="B5" s="176"/>
    </row>
    <row r="6" spans="1:2" ht="31.9" customHeight="1" x14ac:dyDescent="0.35">
      <c r="B6" s="176" t="s">
        <v>351</v>
      </c>
    </row>
    <row r="7" spans="1:2" ht="15.5" x14ac:dyDescent="0.35">
      <c r="B7" s="176" t="s">
        <v>319</v>
      </c>
    </row>
    <row r="8" spans="1:2" ht="15.5" x14ac:dyDescent="0.35">
      <c r="B8" s="176" t="s">
        <v>320</v>
      </c>
    </row>
    <row r="9" spans="1:2" ht="13.5" customHeight="1" x14ac:dyDescent="0.35">
      <c r="B9" s="176"/>
    </row>
    <row r="10" spans="1:2" ht="42.65" customHeight="1" x14ac:dyDescent="0.35">
      <c r="B10" s="176" t="s">
        <v>315</v>
      </c>
    </row>
    <row r="11" spans="1:2" ht="13.5" customHeight="1" x14ac:dyDescent="0.35">
      <c r="B11" s="176"/>
    </row>
    <row r="12" spans="1:2" ht="13.9" customHeight="1" x14ac:dyDescent="0.35">
      <c r="A12" s="176"/>
    </row>
  </sheetData>
  <phoneticPr fontId="1"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F3D7-D07F-48D9-BF66-013E842BCF06}">
  <dimension ref="A1:G12"/>
  <sheetViews>
    <sheetView workbookViewId="0">
      <selection activeCell="E1" sqref="E1"/>
    </sheetView>
  </sheetViews>
  <sheetFormatPr defaultColWidth="9.08203125" defaultRowHeight="12.5" x14ac:dyDescent="0.25"/>
  <cols>
    <col min="1" max="1" width="25.33203125" style="5" customWidth="1"/>
    <col min="2" max="6" width="11.58203125" style="86" customWidth="1"/>
    <col min="7" max="7" width="12" style="5" customWidth="1"/>
    <col min="8" max="16384" width="9.08203125" style="5"/>
  </cols>
  <sheetData>
    <row r="1" spans="1:7" ht="15.5" x14ac:dyDescent="0.35">
      <c r="A1" s="2" t="s">
        <v>167</v>
      </c>
      <c r="B1" s="94"/>
      <c r="C1" s="94"/>
      <c r="D1" s="94"/>
      <c r="E1" s="94"/>
      <c r="F1" s="94"/>
      <c r="G1" s="94"/>
    </row>
    <row r="3" spans="1:7" ht="13" x14ac:dyDescent="0.3">
      <c r="B3" s="95" t="s">
        <v>168</v>
      </c>
      <c r="C3" s="95">
        <v>2018</v>
      </c>
      <c r="D3" s="95">
        <v>2019</v>
      </c>
      <c r="E3" s="95">
        <v>2020</v>
      </c>
      <c r="F3" s="95">
        <v>2021</v>
      </c>
      <c r="G3" s="95">
        <v>2022</v>
      </c>
    </row>
    <row r="4" spans="1:7" x14ac:dyDescent="0.25">
      <c r="G4" s="86"/>
    </row>
    <row r="5" spans="1:7" x14ac:dyDescent="0.25">
      <c r="A5" s="5" t="s">
        <v>169</v>
      </c>
      <c r="B5" s="96">
        <f>'第二部分 Financials'!H5</f>
        <v>229234</v>
      </c>
      <c r="C5" s="96">
        <v>264267</v>
      </c>
      <c r="D5" s="96">
        <v>282741</v>
      </c>
      <c r="E5" s="96">
        <v>301225</v>
      </c>
      <c r="F5" s="96">
        <v>313200</v>
      </c>
      <c r="G5" s="97">
        <v>323100</v>
      </c>
    </row>
    <row r="6" spans="1:7" x14ac:dyDescent="0.25">
      <c r="A6" s="5" t="s">
        <v>170</v>
      </c>
      <c r="B6" s="96">
        <f>'第二部分 Financials'!H10</f>
        <v>61344</v>
      </c>
      <c r="C6" s="96">
        <v>70347</v>
      </c>
      <c r="D6" s="96">
        <v>74615</v>
      </c>
      <c r="E6" s="96">
        <v>79759</v>
      </c>
      <c r="F6" s="96">
        <v>78055</v>
      </c>
      <c r="G6" s="97">
        <v>80282</v>
      </c>
    </row>
    <row r="8" spans="1:7" x14ac:dyDescent="0.25">
      <c r="A8" s="5" t="s">
        <v>171</v>
      </c>
      <c r="B8" s="98">
        <f>'第二部分 Ratios'!H27</f>
        <v>6.304518199398057E-2</v>
      </c>
      <c r="C8" s="98">
        <f>C5/B5-1</f>
        <v>0.15282636956123441</v>
      </c>
      <c r="D8" s="98">
        <f t="shared" ref="D8:G9" si="0">D5/C5-1</f>
        <v>6.990657176264925E-2</v>
      </c>
      <c r="E8" s="98">
        <f t="shared" si="0"/>
        <v>6.537431783858727E-2</v>
      </c>
      <c r="F8" s="98">
        <f t="shared" si="0"/>
        <v>3.9754336459457251E-2</v>
      </c>
      <c r="G8" s="98">
        <f t="shared" si="0"/>
        <v>3.1609195402298784E-2</v>
      </c>
    </row>
    <row r="9" spans="1:7" x14ac:dyDescent="0.25">
      <c r="A9" s="5" t="s">
        <v>172</v>
      </c>
      <c r="B9" s="98">
        <f>'第二部分 Ratios'!H28</f>
        <v>2.1991203518592517E-2</v>
      </c>
      <c r="C9" s="98">
        <f>C6/B6-1</f>
        <v>0.14676251956181541</v>
      </c>
      <c r="D9" s="98">
        <f t="shared" si="0"/>
        <v>6.0670675366397919E-2</v>
      </c>
      <c r="E9" s="98">
        <f t="shared" si="0"/>
        <v>6.8940561549286405E-2</v>
      </c>
      <c r="F9" s="98">
        <f t="shared" si="0"/>
        <v>-2.1364360134906391E-2</v>
      </c>
      <c r="G9" s="98">
        <f t="shared" si="0"/>
        <v>2.8531163922874914E-2</v>
      </c>
    </row>
    <row r="10" spans="1:7" x14ac:dyDescent="0.25">
      <c r="A10" s="5" t="s">
        <v>173</v>
      </c>
      <c r="B10" s="98">
        <f>B6/B5</f>
        <v>0.26760428208729942</v>
      </c>
      <c r="C10" s="98">
        <f t="shared" ref="C10:G10" si="1">C6/C5</f>
        <v>0.26619668744111069</v>
      </c>
      <c r="D10" s="98">
        <f t="shared" si="1"/>
        <v>0.26389876247166133</v>
      </c>
      <c r="E10" s="98">
        <f t="shared" si="1"/>
        <v>0.26478213959664704</v>
      </c>
      <c r="F10" s="98">
        <f t="shared" si="1"/>
        <v>0.24921775223499362</v>
      </c>
      <c r="G10" s="98">
        <f t="shared" si="1"/>
        <v>0.24847415660786135</v>
      </c>
    </row>
    <row r="12" spans="1:7" ht="13" x14ac:dyDescent="0.3">
      <c r="A12" s="5" t="s">
        <v>174</v>
      </c>
    </row>
  </sheetData>
  <phoneticPr fontId="1" type="noConversion"/>
  <pageMargins left="0.7" right="0.7" top="0.75" bottom="0.75" header="0.3" footer="0.3"/>
  <pictur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69DA-9A6D-43DC-AA7E-F6F7FC5AD035}">
  <dimension ref="B2:M162"/>
  <sheetViews>
    <sheetView showGridLines="0" zoomScale="60" zoomScaleNormal="85" workbookViewId="0"/>
  </sheetViews>
  <sheetFormatPr defaultColWidth="9" defaultRowHeight="14.5" x14ac:dyDescent="0.35"/>
  <cols>
    <col min="1" max="1" width="2" style="128" customWidth="1"/>
    <col min="2" max="2" width="16.58203125" style="128" customWidth="1"/>
    <col min="3" max="3" width="14.5" style="128" customWidth="1"/>
    <col min="4" max="4" width="17.33203125" style="128" customWidth="1"/>
    <col min="5" max="5" width="24" style="128" customWidth="1"/>
    <col min="6" max="6" width="22.5" style="128" customWidth="1"/>
    <col min="7" max="7" width="21.75" style="128" customWidth="1"/>
    <col min="8" max="8" width="18" style="128" customWidth="1"/>
    <col min="9" max="9" width="23" style="128" customWidth="1"/>
    <col min="10" max="10" width="14.58203125" style="128" customWidth="1"/>
    <col min="11" max="11" width="15.5" style="128" customWidth="1"/>
    <col min="12" max="12" width="24.5" style="128" customWidth="1"/>
    <col min="13" max="13" width="16.58203125" style="128" customWidth="1"/>
    <col min="14" max="16384" width="9" style="128"/>
  </cols>
  <sheetData>
    <row r="2" spans="2:13" x14ac:dyDescent="0.35">
      <c r="B2" s="126" t="s">
        <v>252</v>
      </c>
      <c r="C2" s="127"/>
      <c r="D2" s="127"/>
      <c r="E2" s="127"/>
      <c r="F2" s="127"/>
      <c r="G2" s="127"/>
      <c r="H2" s="127"/>
      <c r="I2" s="127"/>
      <c r="J2" s="127"/>
      <c r="K2" s="127"/>
      <c r="L2" s="127"/>
    </row>
    <row r="4" spans="2:13" ht="15" x14ac:dyDescent="0.35">
      <c r="B4" s="129" t="s">
        <v>253</v>
      </c>
    </row>
    <row r="5" spans="2:13" ht="15" x14ac:dyDescent="0.35">
      <c r="B5" s="129" t="s">
        <v>254</v>
      </c>
    </row>
    <row r="6" spans="2:13" ht="15" x14ac:dyDescent="0.35">
      <c r="B6" s="129"/>
    </row>
    <row r="7" spans="2:13" ht="15" x14ac:dyDescent="0.35">
      <c r="B7" s="130" t="s">
        <v>255</v>
      </c>
      <c r="C7" s="130" t="s">
        <v>256</v>
      </c>
      <c r="D7" s="130" t="s">
        <v>257</v>
      </c>
      <c r="E7" s="130" t="s">
        <v>10</v>
      </c>
      <c r="F7" s="130" t="s">
        <v>258</v>
      </c>
      <c r="G7" s="130" t="s">
        <v>259</v>
      </c>
      <c r="H7" s="130" t="s">
        <v>260</v>
      </c>
      <c r="I7" s="130" t="s">
        <v>261</v>
      </c>
      <c r="J7" s="130" t="s">
        <v>262</v>
      </c>
      <c r="K7"/>
      <c r="L7"/>
      <c r="M7"/>
    </row>
    <row r="8" spans="2:13" x14ac:dyDescent="0.35">
      <c r="B8" s="131" t="s">
        <v>263</v>
      </c>
      <c r="C8" s="132" t="s">
        <v>264</v>
      </c>
      <c r="D8" s="133">
        <v>2015</v>
      </c>
      <c r="E8" s="134">
        <v>0.2</v>
      </c>
      <c r="F8" s="134">
        <v>0.42</v>
      </c>
      <c r="G8" s="134">
        <v>1.27</v>
      </c>
      <c r="H8" s="134">
        <v>8</v>
      </c>
      <c r="I8" s="134">
        <v>24</v>
      </c>
      <c r="J8" s="134">
        <f t="shared" ref="J8:J34" si="0">(I8-H8)/H8</f>
        <v>2</v>
      </c>
      <c r="K8"/>
      <c r="L8"/>
      <c r="M8"/>
    </row>
    <row r="9" spans="2:13" x14ac:dyDescent="0.35">
      <c r="B9" s="131" t="s">
        <v>265</v>
      </c>
      <c r="C9" s="132" t="s">
        <v>266</v>
      </c>
      <c r="D9" s="133">
        <v>2015</v>
      </c>
      <c r="E9" s="134">
        <v>0.2</v>
      </c>
      <c r="F9" s="134">
        <v>0.16</v>
      </c>
      <c r="G9" s="134">
        <v>0.33</v>
      </c>
      <c r="H9" s="134">
        <v>3</v>
      </c>
      <c r="I9" s="134">
        <v>17.100000000000001</v>
      </c>
      <c r="J9" s="134">
        <f t="shared" si="0"/>
        <v>4.7</v>
      </c>
      <c r="K9"/>
      <c r="L9"/>
      <c r="M9"/>
    </row>
    <row r="10" spans="2:13" x14ac:dyDescent="0.35">
      <c r="B10" s="131" t="s">
        <v>267</v>
      </c>
      <c r="C10" s="132" t="s">
        <v>264</v>
      </c>
      <c r="D10" s="133">
        <v>2016</v>
      </c>
      <c r="E10" s="134">
        <v>1</v>
      </c>
      <c r="F10" s="134">
        <v>0.38</v>
      </c>
      <c r="G10" s="134">
        <v>0.63</v>
      </c>
      <c r="H10" s="134">
        <v>35.700000000000003</v>
      </c>
      <c r="I10" s="134">
        <v>80</v>
      </c>
      <c r="J10" s="134">
        <f t="shared" si="0"/>
        <v>1.2408963585434172</v>
      </c>
      <c r="K10"/>
      <c r="L10"/>
      <c r="M10"/>
    </row>
    <row r="11" spans="2:13" x14ac:dyDescent="0.35">
      <c r="B11" s="131" t="s">
        <v>268</v>
      </c>
      <c r="C11" s="132" t="s">
        <v>266</v>
      </c>
      <c r="D11" s="133">
        <v>2016</v>
      </c>
      <c r="E11" s="134">
        <v>0.25</v>
      </c>
      <c r="F11" s="134">
        <v>0.56000000000000005</v>
      </c>
      <c r="G11" s="134">
        <v>1.1599999999999999</v>
      </c>
      <c r="H11" s="134">
        <v>2.85</v>
      </c>
      <c r="I11" s="134">
        <v>23.85</v>
      </c>
      <c r="J11" s="134">
        <f t="shared" si="0"/>
        <v>7.3684210526315788</v>
      </c>
      <c r="K11"/>
      <c r="L11"/>
      <c r="M11"/>
    </row>
    <row r="12" spans="2:13" x14ac:dyDescent="0.35">
      <c r="B12" s="131" t="s">
        <v>269</v>
      </c>
      <c r="C12" s="132" t="s">
        <v>266</v>
      </c>
      <c r="D12" s="133">
        <v>2016</v>
      </c>
      <c r="E12" s="134">
        <v>0.26100000000000001</v>
      </c>
      <c r="F12" s="134">
        <v>0.79</v>
      </c>
      <c r="G12" s="134">
        <v>1.23</v>
      </c>
      <c r="H12" s="134">
        <v>23.7</v>
      </c>
      <c r="I12" s="134">
        <v>45</v>
      </c>
      <c r="J12" s="134">
        <f t="shared" si="0"/>
        <v>0.89873417721518989</v>
      </c>
      <c r="K12"/>
      <c r="L12"/>
      <c r="M12"/>
    </row>
    <row r="13" spans="2:13" x14ac:dyDescent="0.35">
      <c r="B13" s="131" t="s">
        <v>270</v>
      </c>
      <c r="C13" s="132" t="s">
        <v>266</v>
      </c>
      <c r="D13" s="133">
        <v>2016</v>
      </c>
      <c r="E13" s="134">
        <v>0.5</v>
      </c>
      <c r="F13" s="134">
        <v>0.05</v>
      </c>
      <c r="G13" s="134">
        <v>0.35</v>
      </c>
      <c r="H13" s="134">
        <v>6</v>
      </c>
      <c r="I13" s="134">
        <v>36</v>
      </c>
      <c r="J13" s="134">
        <f t="shared" si="0"/>
        <v>5</v>
      </c>
      <c r="K13"/>
      <c r="L13"/>
      <c r="M13"/>
    </row>
    <row r="14" spans="2:13" x14ac:dyDescent="0.35">
      <c r="B14" s="131" t="s">
        <v>271</v>
      </c>
      <c r="C14" s="132" t="s">
        <v>266</v>
      </c>
      <c r="D14" s="133">
        <v>2016</v>
      </c>
      <c r="E14" s="134">
        <v>1.2</v>
      </c>
      <c r="F14" s="134">
        <v>0.52</v>
      </c>
      <c r="G14" s="134">
        <v>1.04</v>
      </c>
      <c r="H14" s="134">
        <v>15.86</v>
      </c>
      <c r="I14" s="134">
        <v>45</v>
      </c>
      <c r="J14" s="134">
        <f t="shared" si="0"/>
        <v>1.8373266078184112</v>
      </c>
      <c r="K14"/>
      <c r="L14"/>
      <c r="M14"/>
    </row>
    <row r="15" spans="2:13" x14ac:dyDescent="0.35">
      <c r="B15" s="131" t="s">
        <v>272</v>
      </c>
      <c r="C15" s="132" t="s">
        <v>266</v>
      </c>
      <c r="D15" s="133">
        <v>2016</v>
      </c>
      <c r="E15" s="134">
        <v>0.13800000000000001</v>
      </c>
      <c r="F15" s="134">
        <v>0.36</v>
      </c>
      <c r="G15" s="134">
        <v>1.1499999999999999</v>
      </c>
      <c r="H15" s="134">
        <v>2.2999999999999998</v>
      </c>
      <c r="I15" s="134">
        <v>9</v>
      </c>
      <c r="J15" s="134">
        <f t="shared" si="0"/>
        <v>2.9130434782608701</v>
      </c>
      <c r="K15"/>
      <c r="L15"/>
      <c r="M15"/>
    </row>
    <row r="16" spans="2:13" x14ac:dyDescent="0.35">
      <c r="B16" s="131" t="s">
        <v>273</v>
      </c>
      <c r="C16" s="132" t="s">
        <v>266</v>
      </c>
      <c r="D16" s="133">
        <v>2016</v>
      </c>
      <c r="E16" s="134">
        <v>0.36</v>
      </c>
      <c r="F16" s="134">
        <v>0.6</v>
      </c>
      <c r="G16" s="134">
        <v>1.45</v>
      </c>
      <c r="H16" s="134">
        <v>7.4</v>
      </c>
      <c r="I16" s="134">
        <v>8</v>
      </c>
      <c r="J16" s="134">
        <f t="shared" si="0"/>
        <v>8.108108108108103E-2</v>
      </c>
      <c r="K16"/>
      <c r="L16"/>
      <c r="M16"/>
    </row>
    <row r="17" spans="2:13" x14ac:dyDescent="0.35">
      <c r="B17" s="131" t="s">
        <v>274</v>
      </c>
      <c r="C17" s="132" t="s">
        <v>275</v>
      </c>
      <c r="D17" s="133">
        <v>2016</v>
      </c>
      <c r="E17" s="134">
        <v>0.4</v>
      </c>
      <c r="F17" s="134">
        <v>0.4</v>
      </c>
      <c r="G17" s="134">
        <v>0.4</v>
      </c>
      <c r="H17" s="134">
        <v>7.8</v>
      </c>
      <c r="I17" s="134">
        <v>9</v>
      </c>
      <c r="J17" s="134">
        <f t="shared" si="0"/>
        <v>0.15384615384615388</v>
      </c>
      <c r="K17"/>
      <c r="L17"/>
      <c r="M17"/>
    </row>
    <row r="18" spans="2:13" x14ac:dyDescent="0.35">
      <c r="B18" s="131" t="s">
        <v>276</v>
      </c>
      <c r="C18" s="132" t="s">
        <v>264</v>
      </c>
      <c r="D18" s="133">
        <v>2017</v>
      </c>
      <c r="E18" s="134">
        <v>0.4</v>
      </c>
      <c r="F18" s="134">
        <v>0.98</v>
      </c>
      <c r="G18" s="134">
        <v>1.33</v>
      </c>
      <c r="H18" s="134">
        <v>25</v>
      </c>
      <c r="I18" s="134">
        <v>68</v>
      </c>
      <c r="J18" s="134">
        <f t="shared" si="0"/>
        <v>1.72</v>
      </c>
      <c r="K18"/>
      <c r="L18"/>
      <c r="M18"/>
    </row>
    <row r="19" spans="2:13" x14ac:dyDescent="0.35">
      <c r="B19" s="131" t="s">
        <v>277</v>
      </c>
      <c r="C19" s="132" t="s">
        <v>264</v>
      </c>
      <c r="D19" s="133">
        <v>2017</v>
      </c>
      <c r="E19" s="134">
        <v>0.18</v>
      </c>
      <c r="F19" s="134">
        <v>0.5</v>
      </c>
      <c r="G19" s="134">
        <v>1.25</v>
      </c>
      <c r="H19" s="134">
        <v>9</v>
      </c>
      <c r="I19" s="134">
        <v>31.6</v>
      </c>
      <c r="J19" s="134">
        <f t="shared" si="0"/>
        <v>2.5111111111111111</v>
      </c>
      <c r="K19"/>
      <c r="L19"/>
      <c r="M19"/>
    </row>
    <row r="20" spans="2:13" x14ac:dyDescent="0.35">
      <c r="B20" s="131" t="s">
        <v>278</v>
      </c>
      <c r="C20" s="132" t="s">
        <v>264</v>
      </c>
      <c r="D20" s="133">
        <v>2017</v>
      </c>
      <c r="E20" s="134">
        <v>0.5978</v>
      </c>
      <c r="F20" s="134">
        <v>0.97</v>
      </c>
      <c r="G20" s="134">
        <v>1.1100000000000001</v>
      </c>
      <c r="H20" s="134">
        <v>4.9800000000000004</v>
      </c>
      <c r="I20" s="134">
        <v>23.83</v>
      </c>
      <c r="J20" s="134">
        <f t="shared" si="0"/>
        <v>3.7851405622489951</v>
      </c>
      <c r="K20"/>
      <c r="L20"/>
      <c r="M20"/>
    </row>
    <row r="21" spans="2:13" x14ac:dyDescent="0.35">
      <c r="B21" s="131" t="s">
        <v>279</v>
      </c>
      <c r="C21" s="132" t="s">
        <v>264</v>
      </c>
      <c r="D21" s="133">
        <v>2017</v>
      </c>
      <c r="E21" s="134">
        <v>0.43690000000000001</v>
      </c>
      <c r="F21" s="134">
        <v>0.88</v>
      </c>
      <c r="G21" s="134">
        <v>1.2</v>
      </c>
      <c r="H21" s="134">
        <v>3.94</v>
      </c>
      <c r="I21" s="134">
        <v>4.5999999999999996</v>
      </c>
      <c r="J21" s="134">
        <f t="shared" si="0"/>
        <v>0.16751269035532987</v>
      </c>
      <c r="K21"/>
      <c r="L21"/>
      <c r="M21"/>
    </row>
    <row r="22" spans="2:13" x14ac:dyDescent="0.35">
      <c r="B22" s="131" t="s">
        <v>280</v>
      </c>
      <c r="C22" s="132" t="s">
        <v>264</v>
      </c>
      <c r="D22" s="133">
        <v>2017</v>
      </c>
      <c r="E22" s="134">
        <v>0.27729999999999999</v>
      </c>
      <c r="F22" s="134">
        <v>0.8</v>
      </c>
      <c r="G22" s="134">
        <v>1.0900000000000001</v>
      </c>
      <c r="H22" s="134">
        <v>35.299999999999997</v>
      </c>
      <c r="I22" s="134">
        <v>37.6</v>
      </c>
      <c r="J22" s="134">
        <f t="shared" si="0"/>
        <v>6.5155807365439217E-2</v>
      </c>
      <c r="K22"/>
      <c r="L22"/>
      <c r="M22"/>
    </row>
    <row r="23" spans="2:13" x14ac:dyDescent="0.35">
      <c r="B23" s="131" t="s">
        <v>281</v>
      </c>
      <c r="C23" s="132" t="s">
        <v>264</v>
      </c>
      <c r="D23" s="133">
        <v>2017</v>
      </c>
      <c r="E23" s="134">
        <v>1</v>
      </c>
      <c r="F23" s="134">
        <v>0.54</v>
      </c>
      <c r="G23" s="134">
        <v>1.1599999999999999</v>
      </c>
      <c r="H23" s="134">
        <v>73</v>
      </c>
      <c r="I23" s="134">
        <v>73</v>
      </c>
      <c r="J23" s="134">
        <f t="shared" si="0"/>
        <v>0</v>
      </c>
      <c r="K23"/>
      <c r="L23"/>
      <c r="M23"/>
    </row>
    <row r="24" spans="2:13" x14ac:dyDescent="0.35">
      <c r="B24" s="131" t="s">
        <v>282</v>
      </c>
      <c r="C24" s="132" t="s">
        <v>266</v>
      </c>
      <c r="D24" s="133">
        <v>2017</v>
      </c>
      <c r="E24" s="134">
        <v>0.2651</v>
      </c>
      <c r="F24" s="134">
        <v>0.68</v>
      </c>
      <c r="G24" s="134">
        <v>0.69</v>
      </c>
      <c r="H24" s="134">
        <v>4.5599999999999996</v>
      </c>
      <c r="I24" s="134">
        <v>22.5</v>
      </c>
      <c r="J24" s="134">
        <f t="shared" si="0"/>
        <v>3.9342105263157903</v>
      </c>
      <c r="K24"/>
      <c r="L24"/>
      <c r="M24"/>
    </row>
    <row r="25" spans="2:13" x14ac:dyDescent="0.35">
      <c r="B25" s="131" t="s">
        <v>283</v>
      </c>
      <c r="C25" s="132" t="s">
        <v>266</v>
      </c>
      <c r="D25" s="133">
        <v>2017</v>
      </c>
      <c r="E25" s="134">
        <v>0.41</v>
      </c>
      <c r="F25" s="134">
        <v>0.22</v>
      </c>
      <c r="G25" s="134">
        <v>0.74</v>
      </c>
      <c r="H25" s="134">
        <v>12.3</v>
      </c>
      <c r="I25" s="134">
        <v>28.1</v>
      </c>
      <c r="J25" s="134">
        <f t="shared" si="0"/>
        <v>1.2845528455284552</v>
      </c>
      <c r="K25"/>
      <c r="L25"/>
      <c r="M25"/>
    </row>
    <row r="26" spans="2:13" x14ac:dyDescent="0.35">
      <c r="B26" s="131" t="s">
        <v>284</v>
      </c>
      <c r="C26" s="132" t="s">
        <v>266</v>
      </c>
      <c r="D26" s="133">
        <v>2017</v>
      </c>
      <c r="E26" s="134">
        <v>0.57499999999999996</v>
      </c>
      <c r="F26" s="134">
        <v>0.04</v>
      </c>
      <c r="G26" s="134">
        <v>0.16</v>
      </c>
      <c r="H26" s="134">
        <v>10</v>
      </c>
      <c r="I26" s="134">
        <v>33.5</v>
      </c>
      <c r="J26" s="134">
        <f t="shared" si="0"/>
        <v>2.35</v>
      </c>
      <c r="K26"/>
      <c r="L26"/>
      <c r="M26"/>
    </row>
    <row r="27" spans="2:13" x14ac:dyDescent="0.35">
      <c r="B27" s="131" t="s">
        <v>285</v>
      </c>
      <c r="C27" s="132" t="s">
        <v>275</v>
      </c>
      <c r="D27" s="133">
        <v>2017</v>
      </c>
      <c r="E27" s="134">
        <v>1.135</v>
      </c>
      <c r="F27" s="134">
        <v>0.36</v>
      </c>
      <c r="G27" s="134">
        <v>0.4</v>
      </c>
      <c r="H27" s="134">
        <v>8.48</v>
      </c>
      <c r="I27" s="134">
        <v>26</v>
      </c>
      <c r="J27" s="134">
        <f t="shared" si="0"/>
        <v>2.0660377358490565</v>
      </c>
      <c r="K27"/>
      <c r="L27"/>
      <c r="M27"/>
    </row>
    <row r="28" spans="2:13" x14ac:dyDescent="0.35">
      <c r="B28" s="131" t="s">
        <v>286</v>
      </c>
      <c r="C28" s="132" t="s">
        <v>275</v>
      </c>
      <c r="D28" s="133">
        <v>2017</v>
      </c>
      <c r="E28" s="134">
        <v>0.49759999999999999</v>
      </c>
      <c r="F28" s="134">
        <v>0.71</v>
      </c>
      <c r="G28" s="134">
        <v>0.82</v>
      </c>
      <c r="H28" s="134">
        <v>90.9</v>
      </c>
      <c r="I28" s="134">
        <v>170</v>
      </c>
      <c r="J28" s="134">
        <f t="shared" si="0"/>
        <v>0.8701870187018701</v>
      </c>
      <c r="K28"/>
      <c r="L28"/>
      <c r="M28"/>
    </row>
    <row r="29" spans="2:13" x14ac:dyDescent="0.35">
      <c r="B29" s="131" t="s">
        <v>287</v>
      </c>
      <c r="C29" s="132" t="s">
        <v>275</v>
      </c>
      <c r="D29" s="133">
        <v>2017</v>
      </c>
      <c r="E29" s="134">
        <v>0.9</v>
      </c>
      <c r="F29" s="134">
        <v>0.41</v>
      </c>
      <c r="G29" s="134">
        <v>0.91</v>
      </c>
      <c r="H29" s="134">
        <v>9</v>
      </c>
      <c r="I29" s="134">
        <v>35</v>
      </c>
      <c r="J29" s="134">
        <f t="shared" si="0"/>
        <v>2.8888888888888888</v>
      </c>
      <c r="K29"/>
      <c r="L29"/>
      <c r="M29"/>
    </row>
    <row r="30" spans="2:13" x14ac:dyDescent="0.35">
      <c r="B30" s="131" t="s">
        <v>288</v>
      </c>
      <c r="C30" s="132" t="s">
        <v>275</v>
      </c>
      <c r="D30" s="133">
        <v>2017</v>
      </c>
      <c r="E30" s="134">
        <v>0.5</v>
      </c>
      <c r="F30" s="134">
        <v>0.97</v>
      </c>
      <c r="G30" s="134">
        <v>1.34</v>
      </c>
      <c r="H30" s="134">
        <v>8.1999999999999993</v>
      </c>
      <c r="I30" s="134">
        <v>18</v>
      </c>
      <c r="J30" s="134">
        <f t="shared" si="0"/>
        <v>1.1951219512195124</v>
      </c>
      <c r="K30"/>
      <c r="L30"/>
      <c r="M30"/>
    </row>
    <row r="31" spans="2:13" x14ac:dyDescent="0.35">
      <c r="B31" s="131" t="s">
        <v>289</v>
      </c>
      <c r="C31" s="132" t="s">
        <v>264</v>
      </c>
      <c r="D31" s="133">
        <v>2018</v>
      </c>
      <c r="E31" s="134">
        <v>1.4</v>
      </c>
      <c r="F31" s="134">
        <v>0.82</v>
      </c>
      <c r="G31" s="134">
        <v>1.19</v>
      </c>
      <c r="H31" s="134">
        <v>68.8</v>
      </c>
      <c r="I31" s="134">
        <v>310</v>
      </c>
      <c r="J31" s="134">
        <f t="shared" si="0"/>
        <v>3.5058139534883721</v>
      </c>
      <c r="K31"/>
      <c r="L31"/>
      <c r="M31"/>
    </row>
    <row r="32" spans="2:13" x14ac:dyDescent="0.35">
      <c r="B32" s="131" t="s">
        <v>290</v>
      </c>
      <c r="C32" s="132" t="s">
        <v>266</v>
      </c>
      <c r="D32" s="133">
        <v>2018</v>
      </c>
      <c r="E32" s="134">
        <v>0.3</v>
      </c>
      <c r="F32" s="134">
        <v>0.93</v>
      </c>
      <c r="G32" s="134">
        <v>1.89</v>
      </c>
      <c r="H32" s="134">
        <v>2.5</v>
      </c>
      <c r="I32" s="134">
        <v>18</v>
      </c>
      <c r="J32" s="134">
        <f t="shared" si="0"/>
        <v>6.2</v>
      </c>
      <c r="K32"/>
      <c r="L32"/>
      <c r="M32"/>
    </row>
    <row r="33" spans="2:13" x14ac:dyDescent="0.35">
      <c r="B33" s="131" t="s">
        <v>291</v>
      </c>
      <c r="C33" s="132" t="s">
        <v>266</v>
      </c>
      <c r="D33" s="133">
        <v>2018</v>
      </c>
      <c r="E33" s="134">
        <v>0.3</v>
      </c>
      <c r="F33" s="134">
        <v>0.72</v>
      </c>
      <c r="G33" s="134">
        <v>1.42</v>
      </c>
      <c r="H33" s="134">
        <v>8.75</v>
      </c>
      <c r="I33" s="134">
        <v>9</v>
      </c>
      <c r="J33" s="134">
        <f t="shared" si="0"/>
        <v>2.8571428571428571E-2</v>
      </c>
      <c r="K33"/>
      <c r="L33"/>
      <c r="M33"/>
    </row>
    <row r="34" spans="2:13" x14ac:dyDescent="0.35">
      <c r="B34" s="131" t="s">
        <v>292</v>
      </c>
      <c r="C34" s="132" t="s">
        <v>275</v>
      </c>
      <c r="D34" s="133">
        <v>2018</v>
      </c>
      <c r="E34" s="134">
        <v>0.2</v>
      </c>
      <c r="F34" s="134">
        <v>0.69</v>
      </c>
      <c r="G34" s="134">
        <v>1.29</v>
      </c>
      <c r="H34" s="134">
        <v>7.9</v>
      </c>
      <c r="I34" s="134">
        <v>11</v>
      </c>
      <c r="J34" s="134">
        <f t="shared" si="0"/>
        <v>0.39240506329113917</v>
      </c>
      <c r="K34"/>
      <c r="L34"/>
      <c r="M34"/>
    </row>
    <row r="35" spans="2:13" ht="15" x14ac:dyDescent="0.35">
      <c r="B35" s="129"/>
    </row>
    <row r="37" spans="2:13" x14ac:dyDescent="0.35">
      <c r="M37" s="135"/>
    </row>
    <row r="38" spans="2:13" ht="15" x14ac:dyDescent="0.35">
      <c r="B38" s="136" t="s">
        <v>293</v>
      </c>
      <c r="C38" s="137"/>
      <c r="D38" s="137"/>
      <c r="E38" s="137"/>
      <c r="F38" s="137"/>
      <c r="G38" s="137"/>
      <c r="H38" s="137"/>
      <c r="I38" s="137"/>
      <c r="J38" s="137"/>
      <c r="K38" s="137"/>
      <c r="L38" s="137"/>
      <c r="M38" s="138" t="s">
        <v>303</v>
      </c>
    </row>
    <row r="39" spans="2:13" x14ac:dyDescent="0.35">
      <c r="B39" s="139" t="s">
        <v>295</v>
      </c>
      <c r="C39" s="139" t="s">
        <v>296</v>
      </c>
      <c r="D39" s="139" t="s">
        <v>297</v>
      </c>
      <c r="E39" s="139" t="s">
        <v>298</v>
      </c>
      <c r="M39" s="135"/>
    </row>
    <row r="40" spans="2:13" x14ac:dyDescent="0.35">
      <c r="B40" s="140" t="s">
        <v>299</v>
      </c>
      <c r="C40" s="170"/>
      <c r="D40" s="208"/>
      <c r="E40" s="170"/>
      <c r="M40" s="135"/>
    </row>
    <row r="41" spans="2:13" x14ac:dyDescent="0.35">
      <c r="B41" s="140" t="s">
        <v>300</v>
      </c>
      <c r="C41" s="170"/>
      <c r="D41" s="208"/>
      <c r="E41" s="170"/>
      <c r="M41" s="135"/>
    </row>
    <row r="42" spans="2:13" x14ac:dyDescent="0.35">
      <c r="B42" s="140" t="s">
        <v>301</v>
      </c>
      <c r="C42" s="170"/>
      <c r="D42" s="208"/>
      <c r="E42" s="170"/>
      <c r="M42" s="135"/>
    </row>
    <row r="43" spans="2:13" x14ac:dyDescent="0.35">
      <c r="M43" s="135"/>
    </row>
    <row r="44" spans="2:13" x14ac:dyDescent="0.35">
      <c r="M44" s="135"/>
    </row>
    <row r="45" spans="2:13" x14ac:dyDescent="0.35">
      <c r="B45" s="142" t="s">
        <v>251</v>
      </c>
      <c r="C45" s="143"/>
      <c r="D45" s="143"/>
      <c r="E45" s="143"/>
      <c r="F45" s="143"/>
      <c r="G45" s="143"/>
      <c r="H45" s="143"/>
      <c r="I45" s="143"/>
      <c r="J45" s="143"/>
      <c r="K45" s="143"/>
      <c r="L45" s="143"/>
      <c r="M45" s="144" t="s">
        <v>303</v>
      </c>
    </row>
    <row r="46" spans="2:13" x14ac:dyDescent="0.35">
      <c r="B46" s="145" t="s">
        <v>311</v>
      </c>
      <c r="C46" s="142"/>
      <c r="D46" s="143"/>
      <c r="E46" s="143"/>
      <c r="F46" s="143"/>
      <c r="G46" s="143"/>
      <c r="H46" s="143"/>
      <c r="I46" s="143"/>
      <c r="J46" s="143"/>
      <c r="K46" s="143"/>
      <c r="L46" s="143"/>
      <c r="M46" s="143"/>
    </row>
    <row r="56" spans="2:13" x14ac:dyDescent="0.35">
      <c r="M56" s="135"/>
    </row>
    <row r="57" spans="2:13" x14ac:dyDescent="0.35">
      <c r="M57" s="135"/>
    </row>
    <row r="58" spans="2:13" ht="15" x14ac:dyDescent="0.35">
      <c r="B58" s="146"/>
      <c r="C58" s="147"/>
      <c r="D58" s="147"/>
      <c r="E58" s="148"/>
      <c r="M58" s="135"/>
    </row>
    <row r="59" spans="2:13" x14ac:dyDescent="0.35">
      <c r="B59" s="142" t="s">
        <v>302</v>
      </c>
      <c r="C59" s="142"/>
      <c r="D59" s="142"/>
      <c r="E59" s="142"/>
      <c r="F59" s="142"/>
      <c r="G59" s="142"/>
      <c r="H59" s="142"/>
      <c r="I59" s="142"/>
      <c r="J59" s="142"/>
      <c r="K59" s="142"/>
      <c r="L59" s="142"/>
      <c r="M59" s="144" t="s">
        <v>303</v>
      </c>
    </row>
    <row r="60" spans="2:13" x14ac:dyDescent="0.35">
      <c r="B60" s="149" t="s">
        <v>255</v>
      </c>
      <c r="C60" s="149" t="s">
        <v>257</v>
      </c>
      <c r="D60" s="149" t="s">
        <v>10</v>
      </c>
      <c r="E60" s="149" t="s">
        <v>304</v>
      </c>
    </row>
    <row r="61" spans="2:13" x14ac:dyDescent="0.35">
      <c r="B61" s="131" t="s">
        <v>268</v>
      </c>
      <c r="C61" s="196">
        <v>2016</v>
      </c>
      <c r="D61" s="134">
        <v>0.25</v>
      </c>
      <c r="E61" s="209"/>
    </row>
    <row r="62" spans="2:13" x14ac:dyDescent="0.35">
      <c r="B62" s="131" t="s">
        <v>263</v>
      </c>
      <c r="C62" s="196">
        <v>2015</v>
      </c>
      <c r="D62" s="134">
        <v>0.2</v>
      </c>
      <c r="E62" s="209"/>
    </row>
    <row r="63" spans="2:13" x14ac:dyDescent="0.35">
      <c r="B63" s="131" t="s">
        <v>278</v>
      </c>
      <c r="C63" s="196">
        <v>2017</v>
      </c>
      <c r="D63" s="134">
        <v>0.5978</v>
      </c>
      <c r="E63" s="209"/>
    </row>
    <row r="64" spans="2:13" x14ac:dyDescent="0.35">
      <c r="B64" s="131" t="s">
        <v>289</v>
      </c>
      <c r="C64" s="196">
        <v>2018</v>
      </c>
      <c r="D64" s="134">
        <v>1.4</v>
      </c>
      <c r="E64" s="209"/>
    </row>
    <row r="66" spans="2:13" x14ac:dyDescent="0.35">
      <c r="B66" s="142" t="s">
        <v>323</v>
      </c>
      <c r="C66" s="143"/>
      <c r="D66" s="143"/>
      <c r="E66" s="143"/>
      <c r="F66" s="143"/>
      <c r="G66" s="143"/>
      <c r="H66" s="143"/>
      <c r="I66" s="143"/>
      <c r="J66" s="143"/>
      <c r="K66" s="143"/>
      <c r="L66" s="143"/>
      <c r="M66" s="144" t="s">
        <v>303</v>
      </c>
    </row>
    <row r="67" spans="2:13" x14ac:dyDescent="0.35">
      <c r="B67" s="145" t="s">
        <v>312</v>
      </c>
      <c r="C67" s="142"/>
      <c r="D67" s="143"/>
      <c r="E67" s="143"/>
      <c r="F67" s="143"/>
      <c r="G67" s="143"/>
      <c r="H67" s="143"/>
      <c r="I67" s="143"/>
      <c r="J67" s="143"/>
      <c r="K67" s="143"/>
      <c r="L67" s="143"/>
      <c r="M67" s="143"/>
    </row>
    <row r="80" spans="2:13" x14ac:dyDescent="0.35">
      <c r="B80" s="142" t="s">
        <v>324</v>
      </c>
      <c r="C80" s="143"/>
      <c r="D80" s="143"/>
      <c r="E80" s="143"/>
      <c r="F80" s="143"/>
      <c r="G80" s="143"/>
      <c r="H80" s="143"/>
      <c r="I80" s="143"/>
      <c r="J80" s="143"/>
      <c r="K80" s="143"/>
      <c r="L80" s="143"/>
      <c r="M80" s="144" t="s">
        <v>303</v>
      </c>
    </row>
    <row r="81" spans="2:13" x14ac:dyDescent="0.35">
      <c r="B81" s="145" t="s">
        <v>313</v>
      </c>
      <c r="C81" s="142"/>
      <c r="D81" s="143"/>
      <c r="E81" s="143"/>
      <c r="F81" s="143"/>
      <c r="G81" s="143"/>
      <c r="H81" s="143"/>
      <c r="I81" s="143"/>
      <c r="J81" s="143"/>
      <c r="K81" s="143"/>
      <c r="L81" s="143"/>
      <c r="M81" s="143"/>
    </row>
    <row r="82" spans="2:13" x14ac:dyDescent="0.35">
      <c r="B82" s="150" t="s">
        <v>305</v>
      </c>
      <c r="C82" s="150" t="s">
        <v>2</v>
      </c>
      <c r="D82" s="150" t="s">
        <v>306</v>
      </c>
    </row>
    <row r="83" spans="2:13" x14ac:dyDescent="0.35">
      <c r="B83" s="151" t="s">
        <v>0</v>
      </c>
      <c r="C83" s="152">
        <v>0.3</v>
      </c>
      <c r="D83" s="210"/>
    </row>
    <row r="84" spans="2:13" x14ac:dyDescent="0.35">
      <c r="B84" s="151" t="s">
        <v>1</v>
      </c>
      <c r="C84" s="152">
        <v>0.3</v>
      </c>
      <c r="D84" s="210"/>
    </row>
    <row r="85" spans="2:13" x14ac:dyDescent="0.35">
      <c r="B85" s="151" t="s">
        <v>3</v>
      </c>
      <c r="C85" s="152">
        <v>1.4</v>
      </c>
      <c r="D85" s="210"/>
    </row>
    <row r="86" spans="2:13" x14ac:dyDescent="0.35">
      <c r="B86" s="151" t="s">
        <v>4</v>
      </c>
      <c r="C86" s="152">
        <v>1</v>
      </c>
      <c r="D86" s="210"/>
    </row>
    <row r="87" spans="2:13" x14ac:dyDescent="0.35">
      <c r="B87" s="151" t="s">
        <v>5</v>
      </c>
      <c r="C87" s="152">
        <v>0.4</v>
      </c>
      <c r="D87" s="210"/>
    </row>
    <row r="88" spans="2:13" x14ac:dyDescent="0.35">
      <c r="B88" s="151" t="s">
        <v>6</v>
      </c>
      <c r="C88" s="152">
        <v>0.1</v>
      </c>
      <c r="D88" s="210"/>
    </row>
    <row r="94" spans="2:13" x14ac:dyDescent="0.35">
      <c r="B94" s="142" t="s">
        <v>307</v>
      </c>
      <c r="C94" s="143"/>
      <c r="D94" s="143"/>
      <c r="E94" s="143"/>
      <c r="F94" s="143"/>
      <c r="G94" s="143"/>
      <c r="H94" s="143"/>
      <c r="I94" s="143"/>
      <c r="J94" s="143"/>
      <c r="K94" s="143"/>
      <c r="L94" s="143"/>
      <c r="M94" s="144" t="s">
        <v>303</v>
      </c>
    </row>
    <row r="95" spans="2:13" x14ac:dyDescent="0.35">
      <c r="B95" s="145" t="s">
        <v>314</v>
      </c>
      <c r="C95" s="142"/>
      <c r="D95" s="143"/>
      <c r="E95" s="143"/>
      <c r="F95" s="143"/>
      <c r="G95" s="143"/>
      <c r="H95" s="143"/>
      <c r="I95" s="143"/>
      <c r="J95" s="143"/>
      <c r="K95" s="143"/>
      <c r="L95" s="143"/>
      <c r="M95" s="143"/>
    </row>
    <row r="96" spans="2:13" x14ac:dyDescent="0.35">
      <c r="B96" s="139" t="s">
        <v>7</v>
      </c>
      <c r="C96" s="139" t="s">
        <v>308</v>
      </c>
      <c r="D96" s="139" t="s">
        <v>309</v>
      </c>
      <c r="E96" s="139" t="s">
        <v>8</v>
      </c>
    </row>
    <row r="97" spans="2:13" x14ac:dyDescent="0.35">
      <c r="B97" s="140">
        <v>1</v>
      </c>
      <c r="C97" s="140">
        <v>0.42</v>
      </c>
      <c r="D97" s="140">
        <v>0.28999999999999998</v>
      </c>
      <c r="E97" s="140">
        <v>1.71</v>
      </c>
    </row>
    <row r="99" spans="2:13" x14ac:dyDescent="0.35">
      <c r="D99" s="153"/>
    </row>
    <row r="100" spans="2:13" x14ac:dyDescent="0.35">
      <c r="D100" s="154"/>
    </row>
    <row r="109" spans="2:13" x14ac:dyDescent="0.35">
      <c r="B109" s="203" t="s">
        <v>333</v>
      </c>
    </row>
    <row r="110" spans="2:13" x14ac:dyDescent="0.35">
      <c r="B110" s="168" t="s">
        <v>326</v>
      </c>
    </row>
    <row r="111" spans="2:13" x14ac:dyDescent="0.35">
      <c r="B111" s="142" t="s">
        <v>343</v>
      </c>
      <c r="C111" s="143"/>
      <c r="D111" s="143"/>
      <c r="E111" s="143"/>
      <c r="F111" s="143"/>
      <c r="G111" s="143"/>
      <c r="H111" s="143"/>
      <c r="I111" s="143"/>
      <c r="J111" s="143"/>
      <c r="K111" s="143"/>
      <c r="L111" s="143"/>
      <c r="M111" s="143"/>
    </row>
    <row r="112" spans="2:13" x14ac:dyDescent="0.35">
      <c r="B112" s="143" t="s">
        <v>344</v>
      </c>
      <c r="C112" s="143"/>
      <c r="D112" s="143"/>
      <c r="E112" s="143"/>
      <c r="F112" s="143"/>
      <c r="G112" s="143"/>
      <c r="H112" s="143"/>
      <c r="I112" s="143"/>
      <c r="J112" s="143"/>
      <c r="K112" s="143"/>
      <c r="L112" s="143"/>
      <c r="M112" s="143"/>
    </row>
    <row r="113" spans="2:13" x14ac:dyDescent="0.35">
      <c r="B113" s="142" t="s">
        <v>327</v>
      </c>
      <c r="C113" s="143"/>
      <c r="D113" s="143"/>
      <c r="E113" s="143"/>
      <c r="F113" s="143"/>
      <c r="G113" s="143"/>
      <c r="H113" s="143"/>
      <c r="I113" s="143"/>
      <c r="J113" s="143"/>
      <c r="K113" s="143"/>
      <c r="L113" s="143"/>
      <c r="M113" s="144" t="s">
        <v>322</v>
      </c>
    </row>
    <row r="115" spans="2:13" x14ac:dyDescent="0.35">
      <c r="C115" s="158" t="s">
        <v>246</v>
      </c>
      <c r="D115" s="178"/>
      <c r="E115" s="178"/>
      <c r="F115" s="185">
        <v>41639</v>
      </c>
      <c r="G115" s="185">
        <v>42369</v>
      </c>
      <c r="H115" s="185">
        <f t="shared" ref="H115:K115" si="1">EDATE(G115,12)</f>
        <v>42735</v>
      </c>
      <c r="I115" s="185">
        <f t="shared" si="1"/>
        <v>43100</v>
      </c>
      <c r="J115" s="185">
        <f t="shared" si="1"/>
        <v>43465</v>
      </c>
      <c r="K115" s="186">
        <f t="shared" si="1"/>
        <v>43830</v>
      </c>
    </row>
    <row r="116" spans="2:13" x14ac:dyDescent="0.35">
      <c r="C116" s="187" t="s">
        <v>247</v>
      </c>
      <c r="D116" s="154"/>
      <c r="E116" s="154"/>
      <c r="F116" s="154">
        <v>-300</v>
      </c>
      <c r="G116" s="154">
        <v>70</v>
      </c>
      <c r="H116" s="154">
        <v>100</v>
      </c>
      <c r="I116" s="154">
        <v>150</v>
      </c>
      <c r="J116" s="154">
        <v>200</v>
      </c>
      <c r="K116" s="188">
        <v>300</v>
      </c>
      <c r="L116" s="212"/>
    </row>
    <row r="117" spans="2:13" x14ac:dyDescent="0.35">
      <c r="C117" s="187"/>
      <c r="D117" s="154"/>
      <c r="E117" s="154"/>
      <c r="F117" s="154"/>
      <c r="G117" s="154"/>
      <c r="H117" s="154"/>
      <c r="I117" s="154"/>
      <c r="J117" s="154"/>
      <c r="K117" s="188"/>
    </row>
    <row r="118" spans="2:13" x14ac:dyDescent="0.35">
      <c r="C118" s="189" t="s">
        <v>328</v>
      </c>
      <c r="D118" s="154"/>
      <c r="E118" s="154"/>
      <c r="F118" s="154"/>
      <c r="G118" s="154"/>
      <c r="H118" s="154"/>
      <c r="I118" s="154"/>
      <c r="J118" s="154"/>
      <c r="K118" s="188"/>
    </row>
    <row r="119" spans="2:13" ht="15" x14ac:dyDescent="0.35">
      <c r="C119" s="190" t="s">
        <v>339</v>
      </c>
      <c r="D119" s="154"/>
      <c r="E119" s="154"/>
      <c r="F119" s="214">
        <v>300</v>
      </c>
      <c r="G119" s="211"/>
      <c r="H119" s="211"/>
      <c r="I119" s="211"/>
      <c r="J119" s="211"/>
      <c r="K119" s="213"/>
    </row>
    <row r="120" spans="2:13" ht="15" x14ac:dyDescent="0.35">
      <c r="C120" s="190" t="s">
        <v>340</v>
      </c>
      <c r="D120" s="154"/>
      <c r="E120" s="154"/>
      <c r="F120" s="214">
        <v>0</v>
      </c>
      <c r="G120" s="211"/>
      <c r="H120" s="211"/>
      <c r="I120" s="211"/>
      <c r="J120" s="211"/>
      <c r="K120" s="213"/>
    </row>
    <row r="121" spans="2:13" ht="15" x14ac:dyDescent="0.35">
      <c r="C121" s="190" t="s">
        <v>341</v>
      </c>
      <c r="D121" s="154"/>
      <c r="E121" s="154"/>
      <c r="F121" s="215">
        <v>300</v>
      </c>
      <c r="G121" s="211"/>
      <c r="H121" s="211"/>
      <c r="I121" s="211"/>
      <c r="J121" s="211"/>
      <c r="K121" s="213"/>
    </row>
    <row r="122" spans="2:13" ht="15" x14ac:dyDescent="0.35">
      <c r="C122" s="190" t="s">
        <v>342</v>
      </c>
      <c r="D122" s="154"/>
      <c r="E122" s="154"/>
      <c r="F122" s="214">
        <v>0</v>
      </c>
      <c r="G122" s="211"/>
      <c r="H122" s="211"/>
      <c r="I122" s="211"/>
      <c r="J122" s="211"/>
      <c r="K122" s="213"/>
    </row>
    <row r="123" spans="2:13" x14ac:dyDescent="0.35">
      <c r="C123" s="187"/>
      <c r="D123" s="154"/>
      <c r="E123" s="154"/>
      <c r="F123" s="154"/>
      <c r="G123" s="154"/>
      <c r="H123" s="154"/>
      <c r="I123" s="154"/>
      <c r="J123" s="154"/>
      <c r="K123" s="188"/>
    </row>
    <row r="124" spans="2:13" x14ac:dyDescent="0.35">
      <c r="C124" s="189" t="s">
        <v>329</v>
      </c>
      <c r="D124" s="154"/>
      <c r="E124" s="154"/>
      <c r="F124" s="154"/>
      <c r="G124" s="154"/>
      <c r="H124" s="154"/>
      <c r="I124" s="154"/>
      <c r="J124" s="154"/>
      <c r="K124" s="188"/>
    </row>
    <row r="125" spans="2:13" x14ac:dyDescent="0.35">
      <c r="C125" s="187" t="s">
        <v>330</v>
      </c>
      <c r="D125" s="193">
        <v>0.4</v>
      </c>
      <c r="E125" s="154"/>
      <c r="F125" s="214">
        <v>0</v>
      </c>
      <c r="G125" s="191"/>
      <c r="H125" s="191"/>
      <c r="I125" s="191"/>
      <c r="J125" s="191"/>
      <c r="K125" s="192"/>
    </row>
    <row r="126" spans="2:13" x14ac:dyDescent="0.35">
      <c r="C126" s="194" t="s">
        <v>248</v>
      </c>
      <c r="D126" s="195">
        <v>0.6</v>
      </c>
      <c r="E126" s="182"/>
      <c r="F126" s="216">
        <v>0</v>
      </c>
      <c r="G126" s="183"/>
      <c r="H126" s="183"/>
      <c r="I126" s="183"/>
      <c r="J126" s="183"/>
      <c r="K126" s="184"/>
    </row>
    <row r="128" spans="2:13" x14ac:dyDescent="0.35">
      <c r="C128" s="177" t="s">
        <v>331</v>
      </c>
      <c r="D128" s="178"/>
      <c r="E128" s="178"/>
      <c r="F128" s="217">
        <v>-300</v>
      </c>
      <c r="G128" s="179"/>
      <c r="H128" s="179"/>
      <c r="I128" s="179"/>
      <c r="J128" s="179"/>
      <c r="K128" s="180"/>
      <c r="L128" s="212"/>
    </row>
    <row r="129" spans="2:13" x14ac:dyDescent="0.35">
      <c r="C129" s="181" t="s">
        <v>321</v>
      </c>
      <c r="D129" s="182"/>
      <c r="E129" s="182"/>
      <c r="F129" s="216">
        <v>0</v>
      </c>
      <c r="G129" s="183"/>
      <c r="H129" s="183"/>
      <c r="I129" s="183"/>
      <c r="J129" s="183"/>
      <c r="K129" s="184"/>
      <c r="L129" s="212"/>
    </row>
    <row r="131" spans="2:13" x14ac:dyDescent="0.35">
      <c r="B131" s="142" t="s">
        <v>332</v>
      </c>
      <c r="C131" s="142"/>
      <c r="D131" s="142"/>
      <c r="E131" s="142"/>
      <c r="F131" s="142"/>
      <c r="G131" s="142"/>
      <c r="H131" s="142"/>
      <c r="I131" s="142"/>
      <c r="J131" s="142"/>
      <c r="K131" s="142"/>
      <c r="L131" s="142"/>
      <c r="M131" s="144" t="s">
        <v>303</v>
      </c>
    </row>
    <row r="133" spans="2:13" x14ac:dyDescent="0.35">
      <c r="C133" s="158"/>
      <c r="D133" s="140" t="s">
        <v>250</v>
      </c>
    </row>
    <row r="134" spans="2:13" x14ac:dyDescent="0.35">
      <c r="C134" s="141" t="s">
        <v>249</v>
      </c>
      <c r="D134" s="159"/>
    </row>
    <row r="135" spans="2:13" x14ac:dyDescent="0.35">
      <c r="C135" s="141" t="s">
        <v>330</v>
      </c>
      <c r="D135" s="159"/>
    </row>
    <row r="137" spans="2:13" x14ac:dyDescent="0.35">
      <c r="B137" s="142" t="s">
        <v>338</v>
      </c>
      <c r="C137" s="142"/>
      <c r="D137" s="142"/>
      <c r="E137" s="142"/>
      <c r="F137" s="142"/>
      <c r="G137" s="142"/>
      <c r="H137" s="142"/>
      <c r="I137" s="142"/>
      <c r="J137" s="142"/>
      <c r="K137" s="142"/>
      <c r="L137" s="142"/>
      <c r="M137" s="144" t="s">
        <v>294</v>
      </c>
    </row>
    <row r="138" spans="2:13" s="160" customFormat="1" x14ac:dyDescent="0.35">
      <c r="B138" s="161"/>
      <c r="C138" s="161"/>
      <c r="D138" s="161"/>
      <c r="E138" s="161"/>
      <c r="F138" s="161"/>
      <c r="G138" s="161"/>
      <c r="H138" s="161"/>
      <c r="I138" s="161"/>
      <c r="J138" s="161"/>
      <c r="K138" s="161"/>
      <c r="L138" s="161"/>
      <c r="M138" s="207"/>
    </row>
    <row r="139" spans="2:13" s="160" customFormat="1" x14ac:dyDescent="0.35">
      <c r="B139" s="161"/>
      <c r="C139" s="221" t="s">
        <v>325</v>
      </c>
      <c r="D139" s="206" t="s">
        <v>336</v>
      </c>
      <c r="E139" s="206"/>
      <c r="F139" s="206"/>
      <c r="G139" s="206"/>
      <c r="H139" s="206"/>
      <c r="I139" s="220" t="s">
        <v>335</v>
      </c>
      <c r="J139" s="161"/>
      <c r="K139" s="161"/>
      <c r="L139" s="161"/>
      <c r="M139" s="161"/>
    </row>
    <row r="140" spans="2:13" x14ac:dyDescent="0.35">
      <c r="C140" s="221"/>
      <c r="D140" s="197">
        <v>44561</v>
      </c>
      <c r="E140" s="197">
        <f>EOMONTH(D140,12)</f>
        <v>44926</v>
      </c>
      <c r="F140" s="197">
        <f t="shared" ref="F140:H140" si="2">EOMONTH(E140,12)</f>
        <v>45291</v>
      </c>
      <c r="G140" s="197">
        <f t="shared" si="2"/>
        <v>45657</v>
      </c>
      <c r="H140" s="197">
        <f t="shared" si="2"/>
        <v>46022</v>
      </c>
      <c r="I140" s="220"/>
      <c r="J140"/>
      <c r="L140"/>
    </row>
    <row r="141" spans="2:13" ht="14.5" customHeight="1" x14ac:dyDescent="0.35">
      <c r="C141" s="204">
        <v>1</v>
      </c>
      <c r="D141" s="162">
        <v>420</v>
      </c>
      <c r="E141" s="162">
        <v>588</v>
      </c>
      <c r="F141" s="162">
        <v>823.19999999999993</v>
      </c>
      <c r="G141" s="162">
        <v>1152.4799999999998</v>
      </c>
      <c r="H141" s="162">
        <v>1613.4719999999995</v>
      </c>
      <c r="I141" s="199">
        <v>45291</v>
      </c>
      <c r="J141"/>
      <c r="L141"/>
    </row>
    <row r="142" spans="2:13" x14ac:dyDescent="0.35">
      <c r="C142" s="204">
        <v>2</v>
      </c>
      <c r="D142" s="162">
        <v>360</v>
      </c>
      <c r="E142" s="162">
        <v>432</v>
      </c>
      <c r="F142" s="162">
        <v>518.4</v>
      </c>
      <c r="G142" s="162">
        <v>622.07999999999993</v>
      </c>
      <c r="H142" s="162">
        <v>746.49599999999987</v>
      </c>
      <c r="I142" s="199">
        <v>45657</v>
      </c>
      <c r="J142"/>
      <c r="L142"/>
    </row>
    <row r="143" spans="2:13" x14ac:dyDescent="0.35">
      <c r="C143" s="205">
        <v>3</v>
      </c>
      <c r="D143" s="163">
        <v>330</v>
      </c>
      <c r="E143" s="163">
        <v>363.00000000000006</v>
      </c>
      <c r="F143" s="163">
        <v>399.30000000000007</v>
      </c>
      <c r="G143" s="163">
        <v>439.23000000000013</v>
      </c>
      <c r="H143" s="163">
        <v>483.15300000000019</v>
      </c>
      <c r="I143" s="200">
        <v>46022</v>
      </c>
      <c r="J143"/>
      <c r="L143"/>
    </row>
    <row r="144" spans="2:13" x14ac:dyDescent="0.35">
      <c r="I144" s="157"/>
    </row>
    <row r="145" spans="2:13" x14ac:dyDescent="0.35">
      <c r="I145" s="157"/>
    </row>
    <row r="146" spans="2:13" x14ac:dyDescent="0.35">
      <c r="E146" s="164" t="s">
        <v>347</v>
      </c>
      <c r="F146" s="164">
        <v>2</v>
      </c>
      <c r="I146" s="157"/>
    </row>
    <row r="147" spans="2:13" x14ac:dyDescent="0.35">
      <c r="E147" s="164" t="s">
        <v>346</v>
      </c>
      <c r="F147" s="198"/>
      <c r="I147" s="157"/>
    </row>
    <row r="148" spans="2:13" x14ac:dyDescent="0.35">
      <c r="E148" s="164" t="s">
        <v>348</v>
      </c>
      <c r="F148" s="165"/>
      <c r="I148" s="157"/>
    </row>
    <row r="149" spans="2:13" x14ac:dyDescent="0.35">
      <c r="E149" s="164" t="s">
        <v>350</v>
      </c>
      <c r="F149" s="165"/>
      <c r="I149" s="157"/>
    </row>
    <row r="150" spans="2:13" x14ac:dyDescent="0.35">
      <c r="E150" s="164" t="s">
        <v>349</v>
      </c>
      <c r="F150" s="201"/>
      <c r="G150" s="202"/>
      <c r="I150" s="157"/>
    </row>
    <row r="151" spans="2:13" x14ac:dyDescent="0.35">
      <c r="E151" s="164" t="s">
        <v>310</v>
      </c>
      <c r="F151" s="164">
        <v>15</v>
      </c>
      <c r="I151" s="157"/>
    </row>
    <row r="152" spans="2:13" x14ac:dyDescent="0.35">
      <c r="E152" s="164" t="s">
        <v>345</v>
      </c>
      <c r="F152" s="165"/>
      <c r="I152" s="157"/>
    </row>
    <row r="154" spans="2:13" x14ac:dyDescent="0.35">
      <c r="B154" s="142" t="s">
        <v>337</v>
      </c>
      <c r="C154" s="142"/>
      <c r="D154" s="142"/>
      <c r="E154" s="142"/>
      <c r="F154" s="142"/>
      <c r="G154" s="142"/>
      <c r="H154" s="142"/>
      <c r="I154" s="142"/>
      <c r="J154" s="142"/>
      <c r="K154" s="142"/>
      <c r="L154" s="142"/>
      <c r="M154" s="144" t="s">
        <v>294</v>
      </c>
    </row>
    <row r="155" spans="2:13" x14ac:dyDescent="0.35">
      <c r="I155" s="157"/>
    </row>
    <row r="156" spans="2:13" x14ac:dyDescent="0.35">
      <c r="D156" s="166" t="s">
        <v>334</v>
      </c>
      <c r="E156" s="166"/>
      <c r="F156" s="166"/>
      <c r="I156" s="157"/>
    </row>
    <row r="157" spans="2:13" x14ac:dyDescent="0.35">
      <c r="C157" s="156"/>
      <c r="D157" s="167">
        <v>1</v>
      </c>
      <c r="E157" s="167">
        <v>2</v>
      </c>
      <c r="F157" s="167">
        <v>3</v>
      </c>
      <c r="I157" s="157"/>
    </row>
    <row r="158" spans="2:13" ht="23.25" customHeight="1" x14ac:dyDescent="0.35">
      <c r="B158" s="219" t="s">
        <v>310</v>
      </c>
      <c r="C158" s="218">
        <v>20</v>
      </c>
      <c r="D158" s="169"/>
      <c r="E158" s="169"/>
      <c r="F158" s="169"/>
      <c r="I158" s="157"/>
    </row>
    <row r="159" spans="2:13" ht="23.25" customHeight="1" x14ac:dyDescent="0.35">
      <c r="B159" s="219"/>
      <c r="C159" s="218">
        <v>15</v>
      </c>
      <c r="D159" s="169"/>
      <c r="E159" s="169"/>
      <c r="F159" s="169"/>
      <c r="I159" s="157"/>
    </row>
    <row r="160" spans="2:13" ht="23.25" customHeight="1" x14ac:dyDescent="0.35">
      <c r="B160" s="219"/>
      <c r="C160" s="218">
        <v>10</v>
      </c>
      <c r="D160" s="169"/>
      <c r="E160" s="169"/>
      <c r="F160" s="169"/>
    </row>
    <row r="162" ht="13.9" customHeight="1" x14ac:dyDescent="0.35"/>
  </sheetData>
  <mergeCells count="3">
    <mergeCell ref="B158:B160"/>
    <mergeCell ref="I139:I140"/>
    <mergeCell ref="C139:C140"/>
  </mergeCells>
  <phoneticPr fontId="1" type="noConversion"/>
  <pageMargins left="0.7" right="0.7" top="0.75" bottom="0.75" header="0.3" footer="0.3"/>
  <pageSetup paperSize="9" orientation="portrait" horizontalDpi="300" verticalDpi="300"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D4C08-862C-4D63-A8D7-147B927CCF7E}">
  <dimension ref="B2:N32"/>
  <sheetViews>
    <sheetView showGridLines="0" zoomScale="61" workbookViewId="0">
      <selection activeCell="H14" sqref="H14"/>
    </sheetView>
  </sheetViews>
  <sheetFormatPr defaultColWidth="8.83203125" defaultRowHeight="14.5" x14ac:dyDescent="0.35"/>
  <cols>
    <col min="1" max="1" width="1.5" style="128" customWidth="1"/>
    <col min="2" max="16384" width="8.83203125" style="128"/>
  </cols>
  <sheetData>
    <row r="2" spans="2:14" x14ac:dyDescent="0.35">
      <c r="B2" s="126" t="s">
        <v>318</v>
      </c>
      <c r="C2" s="127"/>
      <c r="D2" s="127"/>
      <c r="E2" s="127"/>
      <c r="F2" s="127"/>
      <c r="G2" s="127"/>
      <c r="H2" s="127"/>
      <c r="I2" s="127"/>
      <c r="J2" s="127"/>
      <c r="K2" s="127"/>
      <c r="L2" s="127"/>
      <c r="M2" s="127"/>
    </row>
    <row r="4" spans="2:14" x14ac:dyDescent="0.35">
      <c r="B4" s="155"/>
    </row>
    <row r="5" spans="2:14" x14ac:dyDescent="0.35">
      <c r="B5" s="171" t="s">
        <v>230</v>
      </c>
      <c r="C5" s="143"/>
      <c r="D5" s="143"/>
      <c r="E5" s="143"/>
      <c r="F5" s="143"/>
      <c r="G5" s="143"/>
      <c r="H5" s="143"/>
      <c r="I5" s="143"/>
      <c r="J5" s="143"/>
      <c r="K5" s="143"/>
      <c r="L5" s="143"/>
      <c r="M5" s="143"/>
      <c r="N5" s="143"/>
    </row>
    <row r="6" spans="2:14" ht="13.9" customHeight="1" x14ac:dyDescent="0.35">
      <c r="B6" s="226" t="s">
        <v>316</v>
      </c>
      <c r="C6" s="226"/>
      <c r="D6" s="226"/>
      <c r="E6" s="226"/>
      <c r="F6" s="226"/>
      <c r="G6" s="226"/>
      <c r="H6" s="226"/>
      <c r="I6" s="226"/>
      <c r="J6" s="226"/>
      <c r="K6" s="226"/>
      <c r="L6" s="226"/>
      <c r="M6" s="226"/>
      <c r="N6" s="226"/>
    </row>
    <row r="7" spans="2:14" x14ac:dyDescent="0.35">
      <c r="B7" s="226"/>
      <c r="C7" s="226"/>
      <c r="D7" s="226"/>
      <c r="E7" s="226"/>
      <c r="F7" s="226"/>
      <c r="G7" s="226"/>
      <c r="H7" s="226"/>
      <c r="I7" s="226"/>
      <c r="J7" s="226"/>
      <c r="K7" s="226"/>
      <c r="L7" s="226"/>
      <c r="M7" s="226"/>
      <c r="N7" s="226"/>
    </row>
    <row r="8" spans="2:14" x14ac:dyDescent="0.35">
      <c r="B8" s="226"/>
      <c r="C8" s="226"/>
      <c r="D8" s="226"/>
      <c r="E8" s="226"/>
      <c r="F8" s="226"/>
      <c r="G8" s="226"/>
      <c r="H8" s="226"/>
      <c r="I8" s="226"/>
      <c r="J8" s="226"/>
      <c r="K8" s="226"/>
      <c r="L8" s="226"/>
      <c r="M8" s="226"/>
      <c r="N8" s="226"/>
    </row>
    <row r="9" spans="2:14" x14ac:dyDescent="0.35">
      <c r="B9" s="226"/>
      <c r="C9" s="226"/>
      <c r="D9" s="226"/>
      <c r="E9" s="226"/>
      <c r="F9" s="226"/>
      <c r="G9" s="226"/>
      <c r="H9" s="226"/>
      <c r="I9" s="226"/>
      <c r="J9" s="226"/>
      <c r="K9" s="226"/>
      <c r="L9" s="226"/>
      <c r="M9" s="226"/>
      <c r="N9" s="226"/>
    </row>
    <row r="10" spans="2:14" x14ac:dyDescent="0.35">
      <c r="B10" s="226"/>
      <c r="C10" s="226"/>
      <c r="D10" s="226"/>
      <c r="E10" s="226"/>
      <c r="F10" s="226"/>
      <c r="G10" s="226"/>
      <c r="H10" s="226"/>
      <c r="I10" s="226"/>
      <c r="J10" s="226"/>
      <c r="K10" s="226"/>
      <c r="L10" s="226"/>
      <c r="M10" s="226"/>
      <c r="N10" s="226"/>
    </row>
    <row r="11" spans="2:14" x14ac:dyDescent="0.35">
      <c r="B11" s="226"/>
      <c r="C11" s="226"/>
      <c r="D11" s="226"/>
      <c r="E11" s="226"/>
      <c r="F11" s="226"/>
      <c r="G11" s="226"/>
      <c r="H11" s="226"/>
      <c r="I11" s="226"/>
      <c r="J11" s="226"/>
      <c r="K11" s="226"/>
      <c r="L11" s="226"/>
      <c r="M11" s="226"/>
      <c r="N11" s="226"/>
    </row>
    <row r="12" spans="2:14" x14ac:dyDescent="0.35">
      <c r="B12" s="172"/>
      <c r="C12" s="172"/>
      <c r="D12" s="172"/>
      <c r="E12" s="172"/>
      <c r="F12" s="172"/>
      <c r="G12" s="172"/>
      <c r="H12" s="172"/>
      <c r="I12" s="172"/>
      <c r="J12" s="172"/>
      <c r="K12" s="172"/>
      <c r="L12" s="172"/>
      <c r="M12" s="172"/>
      <c r="N12" s="172"/>
    </row>
    <row r="13" spans="2:14" x14ac:dyDescent="0.35">
      <c r="B13" s="173"/>
      <c r="C13" s="173"/>
      <c r="D13" s="173"/>
      <c r="E13" s="173"/>
      <c r="F13" s="173"/>
      <c r="G13" s="173"/>
      <c r="H13" s="173"/>
      <c r="I13" s="173"/>
      <c r="J13" s="173"/>
      <c r="K13" s="173"/>
      <c r="L13" s="173"/>
    </row>
    <row r="14" spans="2:14" x14ac:dyDescent="0.35">
      <c r="B14" s="142" t="s">
        <v>242</v>
      </c>
      <c r="C14" s="174"/>
      <c r="D14" s="174"/>
      <c r="E14" s="174"/>
      <c r="F14" s="174"/>
      <c r="G14" s="174"/>
      <c r="H14" s="174"/>
      <c r="I14" s="174"/>
      <c r="J14" s="174"/>
      <c r="K14" s="174"/>
      <c r="L14" s="174"/>
      <c r="M14" s="143"/>
      <c r="N14" s="143"/>
    </row>
    <row r="16" spans="2:14" x14ac:dyDescent="0.35">
      <c r="B16" s="128" t="s">
        <v>317</v>
      </c>
    </row>
    <row r="18" spans="2:14" x14ac:dyDescent="0.35">
      <c r="B18" s="223" t="s">
        <v>231</v>
      </c>
      <c r="C18" s="223"/>
      <c r="D18" s="223"/>
      <c r="E18" s="223"/>
      <c r="F18" s="223"/>
      <c r="G18" s="223"/>
      <c r="H18" s="223"/>
      <c r="I18" s="223"/>
      <c r="J18" s="223"/>
      <c r="K18" s="223"/>
      <c r="L18" s="223"/>
      <c r="M18" s="223"/>
      <c r="N18" s="223"/>
    </row>
    <row r="19" spans="2:14" x14ac:dyDescent="0.35">
      <c r="B19" s="225" t="s">
        <v>236</v>
      </c>
      <c r="C19" s="225"/>
      <c r="D19" s="225"/>
      <c r="E19" s="225"/>
      <c r="F19" s="225"/>
      <c r="G19" s="225"/>
      <c r="H19" s="225"/>
      <c r="I19" s="225"/>
      <c r="J19" s="225"/>
      <c r="K19" s="225"/>
      <c r="L19" s="225"/>
      <c r="M19" s="225"/>
      <c r="N19" s="225"/>
    </row>
    <row r="20" spans="2:14" x14ac:dyDescent="0.35">
      <c r="B20" s="225" t="s">
        <v>237</v>
      </c>
      <c r="C20" s="225"/>
      <c r="D20" s="225"/>
      <c r="E20" s="225"/>
      <c r="F20" s="225"/>
      <c r="G20" s="225"/>
      <c r="H20" s="225"/>
      <c r="I20" s="225"/>
      <c r="J20" s="225"/>
      <c r="K20" s="225"/>
      <c r="L20" s="225"/>
      <c r="M20" s="225"/>
      <c r="N20" s="225"/>
    </row>
    <row r="21" spans="2:14" x14ac:dyDescent="0.35">
      <c r="B21" s="225" t="s">
        <v>238</v>
      </c>
      <c r="C21" s="225"/>
      <c r="D21" s="225"/>
      <c r="E21" s="225"/>
      <c r="F21" s="225"/>
      <c r="G21" s="225"/>
      <c r="H21" s="225"/>
      <c r="I21" s="225"/>
      <c r="J21" s="225"/>
      <c r="K21" s="225"/>
      <c r="L21" s="225"/>
      <c r="M21" s="225"/>
      <c r="N21" s="225"/>
    </row>
    <row r="22" spans="2:14" x14ac:dyDescent="0.35">
      <c r="B22" s="160"/>
      <c r="C22" s="160"/>
      <c r="D22" s="160"/>
      <c r="E22" s="160"/>
      <c r="F22" s="160"/>
      <c r="G22" s="160"/>
      <c r="H22" s="160"/>
      <c r="I22" s="160"/>
      <c r="J22" s="160"/>
      <c r="K22" s="160"/>
      <c r="L22" s="160"/>
      <c r="M22" s="160"/>
      <c r="N22" s="160"/>
    </row>
    <row r="23" spans="2:14" x14ac:dyDescent="0.35">
      <c r="B23" s="223" t="s">
        <v>232</v>
      </c>
      <c r="C23" s="223"/>
      <c r="D23" s="223"/>
      <c r="E23" s="223"/>
      <c r="F23" s="223"/>
      <c r="G23" s="223"/>
      <c r="H23" s="223"/>
      <c r="I23" s="223"/>
      <c r="J23" s="223"/>
      <c r="K23" s="223"/>
      <c r="L23" s="223"/>
      <c r="M23" s="223"/>
      <c r="N23" s="223"/>
    </row>
    <row r="24" spans="2:14" x14ac:dyDescent="0.35">
      <c r="B24" s="224" t="s">
        <v>239</v>
      </c>
      <c r="C24" s="224"/>
      <c r="D24" s="224"/>
      <c r="E24" s="224"/>
      <c r="F24" s="224"/>
      <c r="G24" s="224"/>
      <c r="H24" s="224"/>
      <c r="I24" s="224"/>
      <c r="J24" s="224"/>
      <c r="K24" s="224"/>
      <c r="L24" s="224"/>
      <c r="M24" s="224"/>
      <c r="N24" s="224"/>
    </row>
    <row r="25" spans="2:14" x14ac:dyDescent="0.35">
      <c r="B25" s="225" t="s">
        <v>240</v>
      </c>
      <c r="C25" s="225"/>
      <c r="D25" s="225"/>
      <c r="E25" s="225"/>
      <c r="F25" s="225"/>
      <c r="G25" s="225"/>
      <c r="H25" s="225"/>
      <c r="I25" s="225"/>
      <c r="J25" s="225"/>
      <c r="K25" s="225"/>
      <c r="L25" s="225"/>
      <c r="M25" s="225"/>
      <c r="N25" s="225"/>
    </row>
    <row r="26" spans="2:14" x14ac:dyDescent="0.35">
      <c r="B26" s="225" t="s">
        <v>241</v>
      </c>
      <c r="C26" s="225"/>
      <c r="D26" s="225"/>
      <c r="E26" s="225"/>
      <c r="F26" s="225"/>
      <c r="G26" s="225"/>
      <c r="H26" s="225"/>
      <c r="I26" s="225"/>
      <c r="J26" s="225"/>
      <c r="K26" s="225"/>
      <c r="L26" s="225"/>
      <c r="M26" s="225"/>
      <c r="N26" s="225"/>
    </row>
    <row r="27" spans="2:14" x14ac:dyDescent="0.35">
      <c r="B27" s="160"/>
      <c r="C27" s="160"/>
      <c r="D27" s="160"/>
      <c r="E27" s="160"/>
      <c r="F27" s="160"/>
      <c r="G27" s="160"/>
      <c r="H27" s="160"/>
      <c r="I27" s="160"/>
      <c r="J27" s="160"/>
      <c r="K27" s="160"/>
      <c r="L27" s="160"/>
      <c r="M27" s="160"/>
      <c r="N27" s="160"/>
    </row>
    <row r="28" spans="2:14" x14ac:dyDescent="0.35">
      <c r="B28" s="223" t="s">
        <v>233</v>
      </c>
      <c r="C28" s="223"/>
      <c r="D28" s="223"/>
      <c r="E28" s="223"/>
      <c r="F28" s="223"/>
      <c r="G28" s="223"/>
      <c r="H28" s="223"/>
      <c r="I28" s="223"/>
      <c r="J28" s="223"/>
      <c r="K28" s="223"/>
      <c r="L28" s="223"/>
      <c r="M28" s="223"/>
      <c r="N28" s="223"/>
    </row>
    <row r="29" spans="2:14" x14ac:dyDescent="0.35">
      <c r="B29" s="160"/>
      <c r="C29" s="160"/>
      <c r="D29" s="160"/>
      <c r="E29" s="160"/>
      <c r="F29" s="160"/>
      <c r="G29" s="160"/>
      <c r="H29" s="160"/>
      <c r="I29" s="160"/>
      <c r="J29" s="160"/>
      <c r="K29" s="160"/>
      <c r="L29" s="160"/>
      <c r="M29" s="160"/>
      <c r="N29" s="160"/>
    </row>
    <row r="30" spans="2:14" ht="28.9" customHeight="1" x14ac:dyDescent="0.35">
      <c r="B30" s="223" t="s">
        <v>234</v>
      </c>
      <c r="C30" s="223"/>
      <c r="D30" s="223"/>
      <c r="E30" s="223"/>
      <c r="F30" s="223"/>
      <c r="G30" s="223"/>
      <c r="H30" s="223"/>
      <c r="I30" s="223"/>
      <c r="J30" s="223"/>
      <c r="K30" s="223"/>
      <c r="L30" s="223"/>
      <c r="M30" s="223"/>
      <c r="N30" s="223"/>
    </row>
    <row r="31" spans="2:14" x14ac:dyDescent="0.35">
      <c r="B31" s="160"/>
      <c r="C31" s="160"/>
      <c r="D31" s="160"/>
      <c r="E31" s="160"/>
      <c r="F31" s="160"/>
      <c r="G31" s="160"/>
      <c r="H31" s="160"/>
      <c r="I31" s="160"/>
      <c r="J31" s="160"/>
      <c r="K31" s="160"/>
      <c r="L31" s="160"/>
      <c r="M31" s="160"/>
      <c r="N31" s="160"/>
    </row>
    <row r="32" spans="2:14" ht="28.9" customHeight="1" x14ac:dyDescent="0.35">
      <c r="B32" s="222" t="s">
        <v>235</v>
      </c>
      <c r="C32" s="222"/>
      <c r="D32" s="222"/>
      <c r="E32" s="222"/>
      <c r="F32" s="222"/>
      <c r="G32" s="222"/>
      <c r="H32" s="222"/>
      <c r="I32" s="222"/>
      <c r="J32" s="222"/>
      <c r="K32" s="222"/>
      <c r="L32" s="222"/>
      <c r="M32" s="222"/>
      <c r="N32" s="222"/>
    </row>
  </sheetData>
  <mergeCells count="12">
    <mergeCell ref="B6:N11"/>
    <mergeCell ref="B18:N18"/>
    <mergeCell ref="B19:N19"/>
    <mergeCell ref="B20:N20"/>
    <mergeCell ref="B21:N21"/>
    <mergeCell ref="B32:N32"/>
    <mergeCell ref="B23:N23"/>
    <mergeCell ref="B24:N24"/>
    <mergeCell ref="B25:N25"/>
    <mergeCell ref="B26:N26"/>
    <mergeCell ref="B28:N28"/>
    <mergeCell ref="B30:N30"/>
  </mergeCells>
  <phoneticPr fontId="1" type="noConversion"/>
  <pageMargins left="0.7" right="0.7" top="0.75" bottom="0.75" header="0.3" footer="0.3"/>
  <drawing r:id="rId1"/>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AE39-DA78-4398-848C-676BD412869B}">
  <dimension ref="A1:N59"/>
  <sheetViews>
    <sheetView tabSelected="1" topLeftCell="A24" zoomScale="81" workbookViewId="0"/>
  </sheetViews>
  <sheetFormatPr defaultColWidth="9.08203125" defaultRowHeight="12.5" x14ac:dyDescent="0.25"/>
  <cols>
    <col min="1" max="1" width="29.58203125" style="5" customWidth="1"/>
    <col min="2" max="2" width="14.33203125" style="5" customWidth="1"/>
    <col min="3" max="3" width="12.58203125" style="5" customWidth="1"/>
    <col min="4" max="10" width="11.83203125" style="5" customWidth="1"/>
    <col min="11" max="11" width="9.08203125" style="5"/>
    <col min="12" max="12" width="3.5" style="5" customWidth="1"/>
    <col min="13" max="13" width="4.33203125" style="5" customWidth="1"/>
    <col min="14" max="14" width="62.5" style="5" customWidth="1"/>
    <col min="15" max="16384" width="9.08203125" style="5"/>
  </cols>
  <sheetData>
    <row r="1" spans="1:14" ht="14" x14ac:dyDescent="0.3">
      <c r="A1" s="99" t="s">
        <v>175</v>
      </c>
      <c r="B1" s="100"/>
      <c r="C1" s="100"/>
      <c r="D1" s="100"/>
      <c r="E1" s="100"/>
      <c r="F1" s="100"/>
      <c r="G1" s="100"/>
      <c r="H1" s="100"/>
      <c r="I1" s="100"/>
      <c r="J1" s="100" t="s">
        <v>243</v>
      </c>
      <c r="L1" s="101" t="s">
        <v>176</v>
      </c>
    </row>
    <row r="3" spans="1:14" ht="13" x14ac:dyDescent="0.3">
      <c r="A3" s="9" t="s">
        <v>177</v>
      </c>
      <c r="L3" s="5" t="s">
        <v>178</v>
      </c>
    </row>
    <row r="4" spans="1:14" x14ac:dyDescent="0.25">
      <c r="A4" s="5" t="s">
        <v>179</v>
      </c>
      <c r="B4" s="102"/>
      <c r="M4" s="5" t="s">
        <v>180</v>
      </c>
    </row>
    <row r="5" spans="1:14" x14ac:dyDescent="0.25">
      <c r="A5" s="5" t="s">
        <v>181</v>
      </c>
      <c r="B5" s="102"/>
      <c r="M5" s="5" t="s">
        <v>182</v>
      </c>
    </row>
    <row r="6" spans="1:14" x14ac:dyDescent="0.25">
      <c r="A6" s="5" t="s">
        <v>183</v>
      </c>
      <c r="B6" s="103"/>
      <c r="L6" s="5" t="s">
        <v>184</v>
      </c>
    </row>
    <row r="7" spans="1:14" x14ac:dyDescent="0.25">
      <c r="M7" s="5" t="s">
        <v>185</v>
      </c>
    </row>
    <row r="8" spans="1:14" ht="13" x14ac:dyDescent="0.3">
      <c r="A8" s="9" t="s">
        <v>186</v>
      </c>
      <c r="M8" s="5" t="s">
        <v>187</v>
      </c>
    </row>
    <row r="9" spans="1:14" x14ac:dyDescent="0.25">
      <c r="A9" s="5" t="s">
        <v>188</v>
      </c>
      <c r="B9" s="102"/>
      <c r="N9" s="5" t="s">
        <v>189</v>
      </c>
    </row>
    <row r="10" spans="1:14" x14ac:dyDescent="0.25">
      <c r="A10" s="5" t="s">
        <v>190</v>
      </c>
      <c r="B10" s="102"/>
      <c r="N10" s="5" t="s">
        <v>191</v>
      </c>
    </row>
    <row r="11" spans="1:14" x14ac:dyDescent="0.25">
      <c r="A11" s="5" t="s">
        <v>192</v>
      </c>
      <c r="B11" s="104"/>
      <c r="N11" s="5" t="s">
        <v>193</v>
      </c>
    </row>
    <row r="12" spans="1:14" x14ac:dyDescent="0.25">
      <c r="A12" s="5" t="s">
        <v>194</v>
      </c>
      <c r="B12" s="105"/>
    </row>
    <row r="14" spans="1:14" ht="13" x14ac:dyDescent="0.3">
      <c r="A14" s="9" t="s">
        <v>195</v>
      </c>
    </row>
    <row r="15" spans="1:14" x14ac:dyDescent="0.25">
      <c r="A15" s="5" t="s">
        <v>196</v>
      </c>
      <c r="B15" s="102"/>
    </row>
    <row r="16" spans="1:14" x14ac:dyDescent="0.25">
      <c r="A16" s="5" t="s">
        <v>197</v>
      </c>
      <c r="B16" s="102"/>
    </row>
    <row r="17" spans="1:14" x14ac:dyDescent="0.25">
      <c r="A17" s="5" t="s">
        <v>186</v>
      </c>
      <c r="B17" s="102"/>
    </row>
    <row r="18" spans="1:14" x14ac:dyDescent="0.25">
      <c r="A18" s="5" t="s">
        <v>177</v>
      </c>
      <c r="B18" s="102"/>
    </row>
    <row r="19" spans="1:14" x14ac:dyDescent="0.25">
      <c r="A19" s="5" t="s">
        <v>195</v>
      </c>
      <c r="B19" s="106"/>
    </row>
    <row r="21" spans="1:14" ht="14" x14ac:dyDescent="0.3">
      <c r="A21" s="99" t="s">
        <v>198</v>
      </c>
      <c r="B21" s="100"/>
      <c r="C21" s="100"/>
      <c r="D21" s="100"/>
      <c r="E21" s="100"/>
      <c r="F21" s="100"/>
      <c r="G21" s="100"/>
      <c r="H21" s="100"/>
      <c r="I21" s="100"/>
      <c r="J21" s="100" t="s">
        <v>244</v>
      </c>
      <c r="N21" s="5" t="s">
        <v>199</v>
      </c>
    </row>
    <row r="22" spans="1:14" x14ac:dyDescent="0.25">
      <c r="L22" s="5" t="s">
        <v>200</v>
      </c>
    </row>
    <row r="23" spans="1:14" x14ac:dyDescent="0.25">
      <c r="A23" s="5" t="s">
        <v>201</v>
      </c>
      <c r="B23" s="107"/>
      <c r="M23" s="5" t="s">
        <v>202</v>
      </c>
    </row>
    <row r="24" spans="1:14" x14ac:dyDescent="0.25">
      <c r="A24" s="5" t="s">
        <v>203</v>
      </c>
      <c r="B24" s="102"/>
      <c r="M24" s="5" t="s">
        <v>204</v>
      </c>
    </row>
    <row r="25" spans="1:14" x14ac:dyDescent="0.25">
      <c r="A25" s="5" t="s">
        <v>205</v>
      </c>
      <c r="B25" s="102"/>
      <c r="M25" s="5" t="s">
        <v>206</v>
      </c>
    </row>
    <row r="26" spans="1:14" x14ac:dyDescent="0.25">
      <c r="A26" s="5" t="s">
        <v>207</v>
      </c>
      <c r="B26" s="108"/>
    </row>
    <row r="27" spans="1:14" x14ac:dyDescent="0.25">
      <c r="A27" s="5" t="s">
        <v>208</v>
      </c>
      <c r="B27" s="109"/>
    </row>
    <row r="28" spans="1:14" x14ac:dyDescent="0.25">
      <c r="A28" s="5" t="s">
        <v>209</v>
      </c>
      <c r="B28" s="109"/>
    </row>
    <row r="29" spans="1:14" x14ac:dyDescent="0.25">
      <c r="A29" s="5" t="s">
        <v>210</v>
      </c>
      <c r="B29" s="109"/>
    </row>
    <row r="30" spans="1:14" x14ac:dyDescent="0.25">
      <c r="A30" s="5" t="s">
        <v>211</v>
      </c>
      <c r="B30" s="110"/>
    </row>
    <row r="31" spans="1:14" x14ac:dyDescent="0.25">
      <c r="A31" s="5" t="s">
        <v>212</v>
      </c>
      <c r="B31" s="110"/>
    </row>
    <row r="32" spans="1:14" x14ac:dyDescent="0.25">
      <c r="A32" s="5" t="s">
        <v>213</v>
      </c>
      <c r="B32" s="110"/>
    </row>
    <row r="34" spans="1:10" ht="14" x14ac:dyDescent="0.3">
      <c r="A34" s="99" t="s">
        <v>214</v>
      </c>
      <c r="B34" s="100"/>
      <c r="C34" s="100"/>
      <c r="D34" s="100"/>
      <c r="E34" s="100"/>
      <c r="F34" s="100"/>
      <c r="G34" s="100"/>
      <c r="H34" s="100"/>
      <c r="I34" s="100"/>
      <c r="J34" s="100" t="s">
        <v>245</v>
      </c>
    </row>
    <row r="35" spans="1:10" ht="13" x14ac:dyDescent="0.3">
      <c r="B35" s="111"/>
    </row>
    <row r="36" spans="1:10" ht="13" x14ac:dyDescent="0.3">
      <c r="B36" s="112">
        <v>2017</v>
      </c>
      <c r="C36" s="113">
        <v>2018</v>
      </c>
      <c r="D36" s="113">
        <v>2019</v>
      </c>
      <c r="E36" s="113">
        <v>2020</v>
      </c>
      <c r="F36" s="113">
        <v>2021</v>
      </c>
      <c r="G36" s="113">
        <v>2022</v>
      </c>
    </row>
    <row r="37" spans="1:10" x14ac:dyDescent="0.25">
      <c r="A37" s="5" t="s">
        <v>13</v>
      </c>
      <c r="B37" s="114"/>
      <c r="C37" s="114"/>
      <c r="D37" s="114"/>
      <c r="E37" s="114"/>
      <c r="F37" s="114"/>
      <c r="G37" s="114"/>
    </row>
    <row r="38" spans="1:10" x14ac:dyDescent="0.25">
      <c r="A38" s="5" t="s">
        <v>84</v>
      </c>
      <c r="B38" s="114"/>
      <c r="C38" s="114"/>
      <c r="D38" s="114"/>
      <c r="E38" s="114"/>
      <c r="F38" s="114"/>
      <c r="G38" s="114"/>
    </row>
    <row r="39" spans="1:10" x14ac:dyDescent="0.25">
      <c r="A39" s="5" t="s">
        <v>215</v>
      </c>
      <c r="B39" s="114"/>
      <c r="C39" s="115"/>
      <c r="D39" s="116"/>
      <c r="E39" s="116"/>
      <c r="F39" s="116"/>
      <c r="G39" s="116"/>
    </row>
    <row r="40" spans="1:10" x14ac:dyDescent="0.25">
      <c r="A40" s="5" t="s">
        <v>216</v>
      </c>
      <c r="B40" s="114"/>
      <c r="C40" s="116"/>
      <c r="D40" s="116"/>
      <c r="E40" s="116"/>
      <c r="F40" s="116"/>
      <c r="G40" s="116"/>
    </row>
    <row r="41" spans="1:10" x14ac:dyDescent="0.25">
      <c r="A41" s="5" t="s">
        <v>217</v>
      </c>
      <c r="B41" s="114"/>
      <c r="C41" s="116"/>
      <c r="D41" s="116"/>
      <c r="E41" s="116"/>
      <c r="F41" s="116"/>
      <c r="G41" s="116"/>
    </row>
    <row r="42" spans="1:10" x14ac:dyDescent="0.25">
      <c r="A42" s="5" t="s">
        <v>56</v>
      </c>
      <c r="B42" s="114"/>
      <c r="C42" s="116"/>
      <c r="D42" s="116"/>
      <c r="E42" s="116"/>
      <c r="F42" s="116"/>
      <c r="G42" s="116"/>
    </row>
    <row r="43" spans="1:10" x14ac:dyDescent="0.25">
      <c r="A43" s="5" t="s">
        <v>218</v>
      </c>
      <c r="B43" s="117"/>
      <c r="C43" s="118"/>
      <c r="D43" s="118"/>
      <c r="E43" s="118"/>
      <c r="F43" s="118"/>
      <c r="G43" s="118"/>
      <c r="H43" s="119"/>
    </row>
    <row r="44" spans="1:10" x14ac:dyDescent="0.25">
      <c r="A44" s="5" t="s">
        <v>219</v>
      </c>
      <c r="B44" s="114"/>
      <c r="C44" s="120"/>
      <c r="D44" s="120"/>
      <c r="E44" s="120"/>
      <c r="F44" s="120"/>
      <c r="G44" s="120"/>
    </row>
    <row r="46" spans="1:10" x14ac:dyDescent="0.25">
      <c r="A46" s="5" t="s">
        <v>220</v>
      </c>
      <c r="B46" s="121"/>
      <c r="C46" s="122"/>
      <c r="D46" s="122"/>
      <c r="E46" s="122"/>
      <c r="F46" s="122"/>
      <c r="G46" s="122"/>
      <c r="H46" s="123"/>
    </row>
    <row r="47" spans="1:10" x14ac:dyDescent="0.25">
      <c r="A47" s="5" t="s">
        <v>221</v>
      </c>
      <c r="B47" s="121"/>
      <c r="C47" s="124"/>
      <c r="D47" s="124"/>
      <c r="E47" s="124"/>
      <c r="F47" s="124"/>
      <c r="G47" s="124"/>
    </row>
    <row r="48" spans="1:10" x14ac:dyDescent="0.25">
      <c r="A48" s="5" t="s">
        <v>222</v>
      </c>
      <c r="B48" s="121"/>
      <c r="C48" s="121"/>
      <c r="D48" s="121"/>
      <c r="E48" s="121"/>
      <c r="F48" s="121"/>
      <c r="G48" s="124"/>
    </row>
    <row r="50" spans="1:2" x14ac:dyDescent="0.25">
      <c r="A50" s="5" t="s">
        <v>223</v>
      </c>
      <c r="B50" s="124"/>
    </row>
    <row r="51" spans="1:2" x14ac:dyDescent="0.25">
      <c r="A51" s="5" t="s">
        <v>224</v>
      </c>
      <c r="B51" s="124"/>
    </row>
    <row r="52" spans="1:2" x14ac:dyDescent="0.25">
      <c r="A52" s="5" t="s">
        <v>225</v>
      </c>
      <c r="B52" s="124"/>
    </row>
    <row r="53" spans="1:2" x14ac:dyDescent="0.25">
      <c r="A53" s="5" t="s">
        <v>226</v>
      </c>
      <c r="B53" s="124"/>
    </row>
    <row r="54" spans="1:2" x14ac:dyDescent="0.25">
      <c r="A54" s="5" t="s">
        <v>227</v>
      </c>
      <c r="B54" s="125"/>
    </row>
    <row r="58" spans="1:2" x14ac:dyDescent="0.25">
      <c r="A58" s="5" t="s">
        <v>228</v>
      </c>
    </row>
    <row r="59" spans="1:2" ht="13" x14ac:dyDescent="0.3">
      <c r="A59" s="5" t="s">
        <v>229</v>
      </c>
    </row>
  </sheetData>
  <phoneticPr fontId="1" type="noConversion"/>
  <pageMargins left="0.7" right="0.7" top="0.75" bottom="0.75" header="0.3" footer="0.3"/>
  <pictur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DD39-441E-4803-9401-F09604BB086A}">
  <dimension ref="A1:O60"/>
  <sheetViews>
    <sheetView workbookViewId="0">
      <selection activeCell="E1" sqref="E1"/>
    </sheetView>
  </sheetViews>
  <sheetFormatPr defaultColWidth="9.08203125" defaultRowHeight="12.5" x14ac:dyDescent="0.25"/>
  <cols>
    <col min="1" max="1" width="45" style="5" customWidth="1"/>
    <col min="2" max="9" width="12.58203125" style="5" customWidth="1"/>
    <col min="10" max="16384" width="9.08203125" style="5"/>
  </cols>
  <sheetData>
    <row r="1" spans="1:8" s="1" customFormat="1" ht="15.5" x14ac:dyDescent="0.35">
      <c r="A1" s="2" t="s">
        <v>11</v>
      </c>
      <c r="B1" s="3"/>
      <c r="C1" s="3"/>
      <c r="D1" s="3"/>
      <c r="E1" s="3"/>
      <c r="F1" s="3"/>
      <c r="G1" s="3"/>
      <c r="H1" s="3"/>
    </row>
    <row r="3" spans="1:8" s="1" customFormat="1" ht="14" x14ac:dyDescent="0.3">
      <c r="A3" s="3" t="s">
        <v>12</v>
      </c>
      <c r="B3" s="4">
        <v>40816</v>
      </c>
      <c r="C3" s="4">
        <v>41182</v>
      </c>
      <c r="D3" s="4">
        <v>41547</v>
      </c>
      <c r="E3" s="4">
        <v>41912</v>
      </c>
      <c r="F3" s="4">
        <v>42277</v>
      </c>
      <c r="G3" s="4">
        <v>42643</v>
      </c>
      <c r="H3" s="4">
        <v>43008</v>
      </c>
    </row>
    <row r="5" spans="1:8" x14ac:dyDescent="0.25">
      <c r="A5" s="5" t="s">
        <v>13</v>
      </c>
      <c r="B5" s="6">
        <v>108249</v>
      </c>
      <c r="C5" s="6">
        <v>156508</v>
      </c>
      <c r="D5" s="6">
        <v>170910</v>
      </c>
      <c r="E5" s="6">
        <v>182795</v>
      </c>
      <c r="F5" s="6">
        <v>233715</v>
      </c>
      <c r="G5" s="6">
        <v>215639</v>
      </c>
      <c r="H5" s="6">
        <v>229234</v>
      </c>
    </row>
    <row r="6" spans="1:8" x14ac:dyDescent="0.25">
      <c r="A6" s="5" t="s">
        <v>14</v>
      </c>
      <c r="B6" s="7">
        <v>64431</v>
      </c>
      <c r="C6" s="7">
        <v>87846</v>
      </c>
      <c r="D6" s="7">
        <v>106606</v>
      </c>
      <c r="E6" s="7">
        <v>112258</v>
      </c>
      <c r="F6" s="7">
        <v>140089</v>
      </c>
      <c r="G6" s="7">
        <v>131376</v>
      </c>
      <c r="H6" s="7">
        <v>141048</v>
      </c>
    </row>
    <row r="7" spans="1:8" x14ac:dyDescent="0.25">
      <c r="A7" s="5" t="s">
        <v>15</v>
      </c>
      <c r="B7" s="6">
        <f>B5-B6</f>
        <v>43818</v>
      </c>
      <c r="C7" s="6">
        <f t="shared" ref="C7:H7" si="0">C5-C6</f>
        <v>68662</v>
      </c>
      <c r="D7" s="6">
        <f t="shared" si="0"/>
        <v>64304</v>
      </c>
      <c r="E7" s="6">
        <f t="shared" si="0"/>
        <v>70537</v>
      </c>
      <c r="F7" s="6">
        <f t="shared" si="0"/>
        <v>93626</v>
      </c>
      <c r="G7" s="6">
        <f t="shared" si="0"/>
        <v>84263</v>
      </c>
      <c r="H7" s="6">
        <f t="shared" si="0"/>
        <v>88186</v>
      </c>
    </row>
    <row r="8" spans="1:8" x14ac:dyDescent="0.25">
      <c r="A8" s="5" t="s">
        <v>16</v>
      </c>
      <c r="B8" s="6">
        <v>7599</v>
      </c>
      <c r="C8" s="6">
        <v>10040</v>
      </c>
      <c r="D8" s="6">
        <v>10830</v>
      </c>
      <c r="E8" s="6">
        <v>11993</v>
      </c>
      <c r="F8" s="6">
        <v>14329</v>
      </c>
      <c r="G8" s="6">
        <v>14194</v>
      </c>
      <c r="H8" s="6">
        <v>15261</v>
      </c>
    </row>
    <row r="9" spans="1:8" x14ac:dyDescent="0.25">
      <c r="A9" s="5" t="s">
        <v>17</v>
      </c>
      <c r="B9" s="7">
        <v>2429</v>
      </c>
      <c r="C9" s="7">
        <v>3381</v>
      </c>
      <c r="D9" s="7">
        <v>4475</v>
      </c>
      <c r="E9" s="7">
        <v>6041</v>
      </c>
      <c r="F9" s="7">
        <v>8067</v>
      </c>
      <c r="G9" s="7">
        <v>10045</v>
      </c>
      <c r="H9" s="7">
        <v>11581</v>
      </c>
    </row>
    <row r="10" spans="1:8" x14ac:dyDescent="0.25">
      <c r="A10" s="5" t="s">
        <v>18</v>
      </c>
      <c r="B10" s="6">
        <f>B7-B8-B9</f>
        <v>33790</v>
      </c>
      <c r="C10" s="6">
        <f t="shared" ref="C10:H10" si="1">C7-C8-C9</f>
        <v>55241</v>
      </c>
      <c r="D10" s="6">
        <f t="shared" si="1"/>
        <v>48999</v>
      </c>
      <c r="E10" s="6">
        <f t="shared" si="1"/>
        <v>52503</v>
      </c>
      <c r="F10" s="6">
        <f t="shared" si="1"/>
        <v>71230</v>
      </c>
      <c r="G10" s="6">
        <f t="shared" si="1"/>
        <v>60024</v>
      </c>
      <c r="H10" s="6">
        <f t="shared" si="1"/>
        <v>61344</v>
      </c>
    </row>
    <row r="11" spans="1:8" x14ac:dyDescent="0.25">
      <c r="A11" s="5" t="s">
        <v>19</v>
      </c>
      <c r="B11" s="6">
        <v>519</v>
      </c>
      <c r="C11" s="6">
        <v>1088</v>
      </c>
      <c r="D11" s="6">
        <v>1616</v>
      </c>
      <c r="E11" s="6">
        <v>1795</v>
      </c>
      <c r="F11" s="6">
        <v>2921</v>
      </c>
      <c r="G11" s="6">
        <v>3999</v>
      </c>
      <c r="H11" s="6">
        <v>5201</v>
      </c>
    </row>
    <row r="12" spans="1:8" x14ac:dyDescent="0.25">
      <c r="A12" s="5" t="s">
        <v>20</v>
      </c>
      <c r="B12" s="6">
        <v>0</v>
      </c>
      <c r="C12" s="6">
        <v>0</v>
      </c>
      <c r="D12" s="6">
        <v>136</v>
      </c>
      <c r="E12" s="6">
        <v>384</v>
      </c>
      <c r="F12" s="6">
        <v>733</v>
      </c>
      <c r="G12" s="6">
        <v>1456</v>
      </c>
      <c r="H12" s="6">
        <v>2323</v>
      </c>
    </row>
    <row r="13" spans="1:8" x14ac:dyDescent="0.25">
      <c r="A13" s="5" t="s">
        <v>21</v>
      </c>
      <c r="B13" s="7">
        <v>104</v>
      </c>
      <c r="C13" s="7">
        <v>566</v>
      </c>
      <c r="D13" s="7">
        <v>324</v>
      </c>
      <c r="E13" s="7">
        <v>431</v>
      </c>
      <c r="F13" s="7">
        <v>903</v>
      </c>
      <c r="G13" s="7">
        <v>1195</v>
      </c>
      <c r="H13" s="7">
        <v>133</v>
      </c>
    </row>
    <row r="14" spans="1:8" x14ac:dyDescent="0.25">
      <c r="A14" s="5" t="s">
        <v>22</v>
      </c>
      <c r="B14" s="8">
        <f>B10+B11-B12-B13</f>
        <v>34205</v>
      </c>
      <c r="C14" s="8">
        <f t="shared" ref="C14:H14" si="2">C10+C11-C12-C13</f>
        <v>55763</v>
      </c>
      <c r="D14" s="8">
        <f t="shared" si="2"/>
        <v>50155</v>
      </c>
      <c r="E14" s="8">
        <f t="shared" si="2"/>
        <v>53483</v>
      </c>
      <c r="F14" s="8">
        <f t="shared" si="2"/>
        <v>72515</v>
      </c>
      <c r="G14" s="8">
        <f t="shared" si="2"/>
        <v>61372</v>
      </c>
      <c r="H14" s="8">
        <f t="shared" si="2"/>
        <v>64089</v>
      </c>
    </row>
    <row r="15" spans="1:8" x14ac:dyDescent="0.25">
      <c r="A15" s="5" t="s">
        <v>23</v>
      </c>
      <c r="B15" s="7">
        <v>8283</v>
      </c>
      <c r="C15" s="7">
        <v>14030</v>
      </c>
      <c r="D15" s="7">
        <v>13118</v>
      </c>
      <c r="E15" s="7">
        <v>13973</v>
      </c>
      <c r="F15" s="7">
        <v>19121</v>
      </c>
      <c r="G15" s="7">
        <v>15685</v>
      </c>
      <c r="H15" s="7">
        <v>15738</v>
      </c>
    </row>
    <row r="16" spans="1:8" ht="13.5" thickBot="1" x14ac:dyDescent="0.35">
      <c r="A16" s="9" t="s">
        <v>24</v>
      </c>
      <c r="B16" s="10">
        <f>B14-B15</f>
        <v>25922</v>
      </c>
      <c r="C16" s="10">
        <f t="shared" ref="C16:H16" si="3">C14-C15</f>
        <v>41733</v>
      </c>
      <c r="D16" s="10">
        <f t="shared" si="3"/>
        <v>37037</v>
      </c>
      <c r="E16" s="10">
        <f t="shared" si="3"/>
        <v>39510</v>
      </c>
      <c r="F16" s="10">
        <f t="shared" si="3"/>
        <v>53394</v>
      </c>
      <c r="G16" s="10">
        <f t="shared" si="3"/>
        <v>45687</v>
      </c>
      <c r="H16" s="10">
        <f t="shared" si="3"/>
        <v>48351</v>
      </c>
    </row>
    <row r="17" spans="1:15" ht="13" thickTop="1" x14ac:dyDescent="0.25">
      <c r="B17" s="6"/>
      <c r="C17" s="6"/>
      <c r="D17" s="6"/>
      <c r="E17" s="6"/>
      <c r="F17" s="6"/>
      <c r="G17" s="6"/>
      <c r="H17" s="6"/>
    </row>
    <row r="18" spans="1:15" s="1" customFormat="1" ht="14" x14ac:dyDescent="0.3">
      <c r="A18" s="3" t="s">
        <v>25</v>
      </c>
      <c r="B18" s="4">
        <v>40816</v>
      </c>
      <c r="C18" s="4">
        <v>41182</v>
      </c>
      <c r="D18" s="4">
        <v>41547</v>
      </c>
      <c r="E18" s="4">
        <v>41912</v>
      </c>
      <c r="F18" s="4">
        <v>42277</v>
      </c>
      <c r="G18" s="4">
        <v>42643</v>
      </c>
      <c r="H18" s="4">
        <v>43008</v>
      </c>
    </row>
    <row r="20" spans="1:15" x14ac:dyDescent="0.25">
      <c r="A20" s="5" t="s">
        <v>26</v>
      </c>
      <c r="B20" s="6">
        <v>9815</v>
      </c>
      <c r="C20" s="6">
        <v>10746</v>
      </c>
      <c r="D20" s="6">
        <v>14259</v>
      </c>
      <c r="E20" s="6">
        <v>13844</v>
      </c>
      <c r="F20" s="6">
        <v>21120</v>
      </c>
      <c r="G20" s="6">
        <v>20484</v>
      </c>
      <c r="H20" s="6">
        <v>20289</v>
      </c>
    </row>
    <row r="21" spans="1:15" x14ac:dyDescent="0.25">
      <c r="A21" s="5" t="s">
        <v>27</v>
      </c>
      <c r="B21" s="6">
        <v>16137</v>
      </c>
      <c r="C21" s="6">
        <v>18383</v>
      </c>
      <c r="D21" s="6">
        <v>26331</v>
      </c>
      <c r="E21" s="6">
        <v>11314</v>
      </c>
      <c r="F21" s="6">
        <v>20875</v>
      </c>
      <c r="G21" s="6">
        <v>46671</v>
      </c>
      <c r="H21" s="6">
        <v>53892</v>
      </c>
    </row>
    <row r="22" spans="1:15" x14ac:dyDescent="0.25">
      <c r="A22" s="5" t="s">
        <v>28</v>
      </c>
      <c r="B22" s="6">
        <v>5369</v>
      </c>
      <c r="C22" s="6">
        <v>10930</v>
      </c>
      <c r="D22" s="6">
        <v>13102</v>
      </c>
      <c r="E22" s="6">
        <v>17460</v>
      </c>
      <c r="F22" s="6">
        <v>16849</v>
      </c>
      <c r="G22" s="6">
        <v>15754</v>
      </c>
      <c r="H22" s="6">
        <v>17874</v>
      </c>
      <c r="K22" s="6"/>
    </row>
    <row r="23" spans="1:15" x14ac:dyDescent="0.25">
      <c r="A23" s="5" t="s">
        <v>29</v>
      </c>
      <c r="B23" s="6">
        <v>776</v>
      </c>
      <c r="C23" s="6">
        <v>791</v>
      </c>
      <c r="D23" s="6">
        <v>1764</v>
      </c>
      <c r="E23" s="6">
        <v>2111</v>
      </c>
      <c r="F23" s="6">
        <v>2349</v>
      </c>
      <c r="G23" s="6">
        <v>2132</v>
      </c>
      <c r="H23" s="6">
        <v>4855</v>
      </c>
      <c r="K23" s="6"/>
    </row>
    <row r="24" spans="1:15" x14ac:dyDescent="0.25">
      <c r="A24" s="5" t="s">
        <v>30</v>
      </c>
      <c r="B24" s="6">
        <v>2014</v>
      </c>
      <c r="C24" s="6">
        <v>2583</v>
      </c>
      <c r="D24" s="6">
        <v>3453</v>
      </c>
      <c r="E24" s="6">
        <v>4318</v>
      </c>
      <c r="F24" s="6">
        <v>5546</v>
      </c>
      <c r="G24" s="6">
        <v>10015</v>
      </c>
      <c r="H24" s="6">
        <v>8974</v>
      </c>
    </row>
    <row r="25" spans="1:15" x14ac:dyDescent="0.25">
      <c r="A25" s="5" t="s">
        <v>31</v>
      </c>
      <c r="B25" s="11">
        <v>10877</v>
      </c>
      <c r="C25" s="11">
        <v>14220</v>
      </c>
      <c r="D25" s="11">
        <v>14377</v>
      </c>
      <c r="E25" s="11">
        <v>19484</v>
      </c>
      <c r="F25" s="11">
        <v>23033</v>
      </c>
      <c r="G25" s="11">
        <v>11813</v>
      </c>
      <c r="H25" s="12">
        <v>22761</v>
      </c>
      <c r="K25" s="6"/>
      <c r="L25" s="6"/>
      <c r="M25" s="6"/>
      <c r="N25" s="6"/>
      <c r="O25" s="6"/>
    </row>
    <row r="26" spans="1:15" x14ac:dyDescent="0.25">
      <c r="A26" s="5" t="s">
        <v>32</v>
      </c>
      <c r="B26" s="6">
        <f t="shared" ref="B26:H26" si="4">SUM(B20:B25)</f>
        <v>44988</v>
      </c>
      <c r="C26" s="6">
        <f t="shared" si="4"/>
        <v>57653</v>
      </c>
      <c r="D26" s="6">
        <f t="shared" si="4"/>
        <v>73286</v>
      </c>
      <c r="E26" s="6">
        <f t="shared" si="4"/>
        <v>68531</v>
      </c>
      <c r="F26" s="6">
        <f t="shared" si="4"/>
        <v>89772</v>
      </c>
      <c r="G26" s="6">
        <f t="shared" si="4"/>
        <v>106869</v>
      </c>
      <c r="H26" s="6">
        <f t="shared" si="4"/>
        <v>128645</v>
      </c>
      <c r="K26" s="6"/>
      <c r="L26" s="6"/>
      <c r="M26" s="6"/>
      <c r="N26" s="6"/>
      <c r="O26" s="6"/>
    </row>
    <row r="27" spans="1:15" x14ac:dyDescent="0.25">
      <c r="A27" s="5" t="s">
        <v>33</v>
      </c>
      <c r="B27" s="6">
        <v>7777</v>
      </c>
      <c r="C27" s="6">
        <v>15452</v>
      </c>
      <c r="D27" s="6">
        <v>16597</v>
      </c>
      <c r="E27" s="6">
        <v>20624</v>
      </c>
      <c r="F27" s="6">
        <v>22471</v>
      </c>
      <c r="G27" s="6">
        <v>27010</v>
      </c>
      <c r="H27" s="6">
        <v>33783</v>
      </c>
      <c r="K27" s="6"/>
      <c r="L27" s="6"/>
      <c r="M27" s="6"/>
      <c r="N27" s="6"/>
      <c r="O27" s="6"/>
    </row>
    <row r="28" spans="1:15" x14ac:dyDescent="0.25">
      <c r="A28" s="5" t="s">
        <v>34</v>
      </c>
      <c r="B28" s="6">
        <v>55618</v>
      </c>
      <c r="C28" s="6">
        <v>92122</v>
      </c>
      <c r="D28" s="6">
        <v>106215</v>
      </c>
      <c r="E28" s="6">
        <v>130162</v>
      </c>
      <c r="F28" s="6">
        <v>164065</v>
      </c>
      <c r="G28" s="6">
        <v>170430</v>
      </c>
      <c r="H28" s="6">
        <v>194714</v>
      </c>
    </row>
    <row r="29" spans="1:15" x14ac:dyDescent="0.25">
      <c r="A29" s="5" t="s">
        <v>35</v>
      </c>
      <c r="B29" s="6">
        <v>896</v>
      </c>
      <c r="C29" s="6">
        <v>1135</v>
      </c>
      <c r="D29" s="6">
        <v>1577</v>
      </c>
      <c r="E29" s="6">
        <v>4616</v>
      </c>
      <c r="F29" s="6">
        <v>5116</v>
      </c>
      <c r="G29" s="6">
        <v>5414</v>
      </c>
      <c r="H29" s="6">
        <v>5717</v>
      </c>
    </row>
    <row r="30" spans="1:15" x14ac:dyDescent="0.25">
      <c r="A30" s="5" t="s">
        <v>36</v>
      </c>
      <c r="B30" s="6">
        <v>3536</v>
      </c>
      <c r="C30" s="6">
        <v>4224</v>
      </c>
      <c r="D30" s="6">
        <v>4179</v>
      </c>
      <c r="E30" s="6">
        <v>4142</v>
      </c>
      <c r="F30" s="6">
        <v>3893</v>
      </c>
      <c r="G30" s="6">
        <v>3206</v>
      </c>
      <c r="H30" s="6">
        <v>2298</v>
      </c>
    </row>
    <row r="31" spans="1:15" x14ac:dyDescent="0.25">
      <c r="A31" s="5" t="s">
        <v>37</v>
      </c>
      <c r="B31" s="6">
        <v>3556</v>
      </c>
      <c r="C31" s="6">
        <v>5478</v>
      </c>
      <c r="D31" s="6">
        <v>5146</v>
      </c>
      <c r="E31" s="6">
        <v>3764</v>
      </c>
      <c r="F31" s="6">
        <v>5556</v>
      </c>
      <c r="G31" s="6">
        <v>8757</v>
      </c>
      <c r="H31" s="6">
        <v>10162</v>
      </c>
    </row>
    <row r="32" spans="1:15" ht="13.5" thickBot="1" x14ac:dyDescent="0.35">
      <c r="A32" s="9" t="s">
        <v>38</v>
      </c>
      <c r="B32" s="10">
        <f t="shared" ref="B32:H32" si="5">SUM(B26:B31)</f>
        <v>116371</v>
      </c>
      <c r="C32" s="10">
        <f t="shared" si="5"/>
        <v>176064</v>
      </c>
      <c r="D32" s="10">
        <f t="shared" si="5"/>
        <v>207000</v>
      </c>
      <c r="E32" s="10">
        <f t="shared" si="5"/>
        <v>231839</v>
      </c>
      <c r="F32" s="10">
        <f t="shared" si="5"/>
        <v>290873</v>
      </c>
      <c r="G32" s="10">
        <f t="shared" si="5"/>
        <v>321686</v>
      </c>
      <c r="H32" s="10">
        <f t="shared" si="5"/>
        <v>375319</v>
      </c>
    </row>
    <row r="33" spans="1:12" ht="13" thickTop="1" x14ac:dyDescent="0.25">
      <c r="B33" s="6"/>
      <c r="C33" s="6"/>
      <c r="D33" s="6"/>
      <c r="E33" s="6"/>
      <c r="F33" s="6"/>
      <c r="G33" s="6"/>
      <c r="H33" s="6"/>
    </row>
    <row r="34" spans="1:12" x14ac:dyDescent="0.25">
      <c r="B34" s="6"/>
      <c r="C34" s="6"/>
      <c r="D34" s="6"/>
      <c r="E34" s="6"/>
      <c r="F34" s="6"/>
      <c r="G34" s="6"/>
      <c r="H34" s="6"/>
    </row>
    <row r="35" spans="1:12" x14ac:dyDescent="0.25">
      <c r="A35" s="5" t="s">
        <v>39</v>
      </c>
      <c r="B35" s="6">
        <v>14632</v>
      </c>
      <c r="C35" s="6">
        <v>21175</v>
      </c>
      <c r="D35" s="6">
        <v>22367</v>
      </c>
      <c r="E35" s="6">
        <v>30196</v>
      </c>
      <c r="F35" s="6">
        <v>35490</v>
      </c>
      <c r="G35" s="6">
        <v>37294</v>
      </c>
      <c r="H35" s="6">
        <v>49049</v>
      </c>
      <c r="K35" s="6"/>
    </row>
    <row r="36" spans="1:12" x14ac:dyDescent="0.25">
      <c r="A36" s="5" t="s">
        <v>40</v>
      </c>
      <c r="B36" s="6">
        <v>9247</v>
      </c>
      <c r="C36" s="6">
        <v>11414</v>
      </c>
      <c r="D36" s="6">
        <v>13856</v>
      </c>
      <c r="E36" s="6">
        <v>18453</v>
      </c>
      <c r="F36" s="6">
        <v>25181</v>
      </c>
      <c r="G36" s="6">
        <v>22027</v>
      </c>
      <c r="H36" s="6">
        <v>25744</v>
      </c>
      <c r="K36" s="6"/>
    </row>
    <row r="37" spans="1:12" x14ac:dyDescent="0.25">
      <c r="A37" s="5" t="s">
        <v>41</v>
      </c>
      <c r="B37" s="6">
        <v>4091</v>
      </c>
      <c r="C37" s="6">
        <v>5953</v>
      </c>
      <c r="D37" s="6">
        <v>7435</v>
      </c>
      <c r="E37" s="6">
        <v>8491</v>
      </c>
      <c r="F37" s="6">
        <v>8940</v>
      </c>
      <c r="G37" s="6">
        <v>8080</v>
      </c>
      <c r="H37" s="6">
        <v>7548</v>
      </c>
      <c r="K37" s="6"/>
      <c r="L37" s="6"/>
    </row>
    <row r="38" spans="1:12" x14ac:dyDescent="0.25">
      <c r="A38" s="5" t="s">
        <v>42</v>
      </c>
      <c r="B38" s="6">
        <v>0</v>
      </c>
      <c r="C38" s="6">
        <v>0</v>
      </c>
      <c r="D38" s="6">
        <v>0</v>
      </c>
      <c r="E38" s="6">
        <v>6308</v>
      </c>
      <c r="F38" s="6">
        <v>8499</v>
      </c>
      <c r="G38" s="6">
        <v>8105</v>
      </c>
      <c r="H38" s="6">
        <v>11977</v>
      </c>
      <c r="K38" s="6"/>
    </row>
    <row r="39" spans="1:12" x14ac:dyDescent="0.25">
      <c r="A39" s="13" t="s">
        <v>43</v>
      </c>
      <c r="B39" s="7">
        <v>0</v>
      </c>
      <c r="C39" s="7">
        <v>0</v>
      </c>
      <c r="D39" s="7">
        <v>0</v>
      </c>
      <c r="E39" s="7">
        <v>0</v>
      </c>
      <c r="F39" s="7">
        <v>2500</v>
      </c>
      <c r="G39" s="7">
        <v>3500</v>
      </c>
      <c r="H39" s="7">
        <v>6496</v>
      </c>
      <c r="K39" s="6"/>
    </row>
    <row r="40" spans="1:12" x14ac:dyDescent="0.25">
      <c r="A40" s="5" t="s">
        <v>44</v>
      </c>
      <c r="B40" s="6">
        <f t="shared" ref="B40:H40" si="6">SUM(B35:B39)</f>
        <v>27970</v>
      </c>
      <c r="C40" s="6">
        <f t="shared" si="6"/>
        <v>38542</v>
      </c>
      <c r="D40" s="6">
        <f t="shared" si="6"/>
        <v>43658</v>
      </c>
      <c r="E40" s="6">
        <f t="shared" si="6"/>
        <v>63448</v>
      </c>
      <c r="F40" s="6">
        <f t="shared" si="6"/>
        <v>80610</v>
      </c>
      <c r="G40" s="6">
        <f t="shared" si="6"/>
        <v>79006</v>
      </c>
      <c r="H40" s="6">
        <f t="shared" si="6"/>
        <v>100814</v>
      </c>
      <c r="K40" s="6"/>
    </row>
    <row r="41" spans="1:12" x14ac:dyDescent="0.25">
      <c r="A41" s="5" t="s">
        <v>45</v>
      </c>
      <c r="B41" s="6">
        <v>1686</v>
      </c>
      <c r="C41" s="6">
        <v>2648</v>
      </c>
      <c r="D41" s="6">
        <v>2625</v>
      </c>
      <c r="E41" s="6">
        <v>3031</v>
      </c>
      <c r="F41" s="6">
        <v>3624</v>
      </c>
      <c r="G41" s="6">
        <v>2930</v>
      </c>
      <c r="H41" s="6">
        <v>2836</v>
      </c>
      <c r="K41" s="6"/>
    </row>
    <row r="42" spans="1:12" x14ac:dyDescent="0.25">
      <c r="A42" s="5" t="s">
        <v>46</v>
      </c>
      <c r="B42" s="6">
        <v>0</v>
      </c>
      <c r="C42" s="6">
        <v>0</v>
      </c>
      <c r="D42" s="6">
        <v>16960</v>
      </c>
      <c r="E42" s="6">
        <v>28987</v>
      </c>
      <c r="F42" s="6">
        <v>53463</v>
      </c>
      <c r="G42" s="6">
        <v>75427</v>
      </c>
      <c r="H42" s="6">
        <v>97207</v>
      </c>
    </row>
    <row r="43" spans="1:12" x14ac:dyDescent="0.25">
      <c r="A43" s="5" t="s">
        <v>47</v>
      </c>
      <c r="B43" s="7">
        <v>10100</v>
      </c>
      <c r="C43" s="7">
        <v>16664</v>
      </c>
      <c r="D43" s="7">
        <v>20208</v>
      </c>
      <c r="E43" s="7">
        <v>24826</v>
      </c>
      <c r="F43" s="7">
        <v>33427</v>
      </c>
      <c r="G43" s="7">
        <v>36074</v>
      </c>
      <c r="H43" s="7">
        <v>40415</v>
      </c>
    </row>
    <row r="44" spans="1:12" x14ac:dyDescent="0.25">
      <c r="A44" s="5" t="s">
        <v>48</v>
      </c>
      <c r="B44" s="6">
        <f>SUM(B40:B43)</f>
        <v>39756</v>
      </c>
      <c r="C44" s="6">
        <f t="shared" ref="C44:H44" si="7">SUM(C40:C43)</f>
        <v>57854</v>
      </c>
      <c r="D44" s="6">
        <f t="shared" si="7"/>
        <v>83451</v>
      </c>
      <c r="E44" s="6">
        <f t="shared" si="7"/>
        <v>120292</v>
      </c>
      <c r="F44" s="6">
        <f t="shared" si="7"/>
        <v>171124</v>
      </c>
      <c r="G44" s="6">
        <f t="shared" si="7"/>
        <v>193437</v>
      </c>
      <c r="H44" s="6">
        <f t="shared" si="7"/>
        <v>241272</v>
      </c>
    </row>
    <row r="45" spans="1:12" x14ac:dyDescent="0.25">
      <c r="A45" s="5" t="s">
        <v>49</v>
      </c>
      <c r="B45" s="6">
        <v>13331</v>
      </c>
      <c r="C45" s="6">
        <v>16422</v>
      </c>
      <c r="D45" s="6">
        <v>19764</v>
      </c>
      <c r="E45" s="6">
        <v>23313</v>
      </c>
      <c r="F45" s="6">
        <v>27416</v>
      </c>
      <c r="G45" s="6">
        <v>31251</v>
      </c>
      <c r="H45" s="6">
        <v>35867</v>
      </c>
    </row>
    <row r="46" spans="1:12" x14ac:dyDescent="0.25">
      <c r="A46" s="5" t="s">
        <v>50</v>
      </c>
      <c r="B46" s="6">
        <v>62841</v>
      </c>
      <c r="C46" s="6">
        <v>101289</v>
      </c>
      <c r="D46" s="6">
        <v>104256</v>
      </c>
      <c r="E46" s="6">
        <v>87152</v>
      </c>
      <c r="F46" s="6">
        <v>92284</v>
      </c>
      <c r="G46" s="6">
        <v>96364</v>
      </c>
      <c r="H46" s="6">
        <v>98330</v>
      </c>
    </row>
    <row r="47" spans="1:12" x14ac:dyDescent="0.25">
      <c r="A47" s="5" t="s">
        <v>51</v>
      </c>
      <c r="B47" s="7">
        <v>443</v>
      </c>
      <c r="C47" s="7">
        <v>499</v>
      </c>
      <c r="D47" s="7">
        <v>-471</v>
      </c>
      <c r="E47" s="7">
        <v>1082</v>
      </c>
      <c r="F47" s="7">
        <v>-345</v>
      </c>
      <c r="G47" s="7">
        <v>634</v>
      </c>
      <c r="H47" s="7">
        <v>-150</v>
      </c>
    </row>
    <row r="48" spans="1:12" x14ac:dyDescent="0.25">
      <c r="A48" s="5" t="s">
        <v>52</v>
      </c>
      <c r="B48" s="6">
        <f>SUM(B45:B47)</f>
        <v>76615</v>
      </c>
      <c r="C48" s="6">
        <f t="shared" ref="C48:H48" si="8">SUM(C45:C47)</f>
        <v>118210</v>
      </c>
      <c r="D48" s="6">
        <f t="shared" si="8"/>
        <v>123549</v>
      </c>
      <c r="E48" s="6">
        <f t="shared" si="8"/>
        <v>111547</v>
      </c>
      <c r="F48" s="6">
        <f t="shared" si="8"/>
        <v>119355</v>
      </c>
      <c r="G48" s="6">
        <f t="shared" si="8"/>
        <v>128249</v>
      </c>
      <c r="H48" s="6">
        <f t="shared" si="8"/>
        <v>134047</v>
      </c>
    </row>
    <row r="49" spans="1:8" ht="13.5" thickBot="1" x14ac:dyDescent="0.35">
      <c r="A49" s="9" t="s">
        <v>53</v>
      </c>
      <c r="B49" s="10">
        <f>B44+B48</f>
        <v>116371</v>
      </c>
      <c r="C49" s="10">
        <f t="shared" ref="C49:H49" si="9">C44+C48</f>
        <v>176064</v>
      </c>
      <c r="D49" s="10">
        <f t="shared" si="9"/>
        <v>207000</v>
      </c>
      <c r="E49" s="10">
        <f t="shared" si="9"/>
        <v>231839</v>
      </c>
      <c r="F49" s="10">
        <f t="shared" si="9"/>
        <v>290479</v>
      </c>
      <c r="G49" s="10">
        <f t="shared" si="9"/>
        <v>321686</v>
      </c>
      <c r="H49" s="10">
        <f t="shared" si="9"/>
        <v>375319</v>
      </c>
    </row>
    <row r="50" spans="1:8" ht="13.5" thickTop="1" x14ac:dyDescent="0.3">
      <c r="A50" s="9"/>
    </row>
    <row r="51" spans="1:8" x14ac:dyDescent="0.25">
      <c r="B51" s="6"/>
      <c r="C51" s="6"/>
      <c r="D51" s="6"/>
      <c r="E51" s="6"/>
      <c r="F51" s="6"/>
      <c r="G51" s="6"/>
      <c r="H51" s="6"/>
    </row>
    <row r="52" spans="1:8" s="1" customFormat="1" ht="14" x14ac:dyDescent="0.3">
      <c r="A52" s="3" t="s">
        <v>54</v>
      </c>
      <c r="B52" s="4">
        <v>40816</v>
      </c>
      <c r="C52" s="4">
        <v>41182</v>
      </c>
      <c r="D52" s="4">
        <v>41547</v>
      </c>
      <c r="E52" s="4">
        <v>41912</v>
      </c>
      <c r="F52" s="4">
        <v>42277</v>
      </c>
      <c r="G52" s="4">
        <v>42643</v>
      </c>
      <c r="H52" s="4">
        <v>43008</v>
      </c>
    </row>
    <row r="54" spans="1:8" x14ac:dyDescent="0.25">
      <c r="A54" s="5" t="s">
        <v>55</v>
      </c>
      <c r="B54" s="6">
        <v>1814</v>
      </c>
      <c r="C54" s="6">
        <v>3277</v>
      </c>
      <c r="D54" s="6">
        <v>6757</v>
      </c>
      <c r="E54" s="6">
        <v>7946</v>
      </c>
      <c r="F54" s="6">
        <v>11257</v>
      </c>
      <c r="G54" s="6">
        <v>10505</v>
      </c>
      <c r="H54" s="6">
        <v>10157</v>
      </c>
    </row>
    <row r="55" spans="1:8" x14ac:dyDescent="0.25">
      <c r="A55" s="5" t="s">
        <v>56</v>
      </c>
      <c r="B55" s="6">
        <v>7696</v>
      </c>
      <c r="C55" s="6">
        <v>9752</v>
      </c>
      <c r="D55" s="6">
        <v>9572</v>
      </c>
      <c r="E55" s="6">
        <v>13578</v>
      </c>
      <c r="F55" s="6">
        <v>11831</v>
      </c>
      <c r="G55" s="6">
        <v>13845</v>
      </c>
      <c r="H55" s="6">
        <v>13124</v>
      </c>
    </row>
    <row r="57" spans="1:8" s="1" customFormat="1" ht="14" x14ac:dyDescent="0.3">
      <c r="A57" s="3" t="s">
        <v>57</v>
      </c>
      <c r="B57" s="4">
        <v>40816</v>
      </c>
      <c r="C57" s="4">
        <v>41182</v>
      </c>
      <c r="D57" s="4">
        <v>41547</v>
      </c>
      <c r="E57" s="4">
        <v>41912</v>
      </c>
      <c r="F57" s="4">
        <v>42277</v>
      </c>
      <c r="G57" s="4">
        <v>42643</v>
      </c>
      <c r="H57" s="4">
        <v>43008</v>
      </c>
    </row>
    <row r="59" spans="1:8" ht="14" x14ac:dyDescent="0.3">
      <c r="A59" s="5" t="s">
        <v>58</v>
      </c>
      <c r="B59" s="14">
        <v>6556.5149999999994</v>
      </c>
      <c r="C59" s="14">
        <v>6617.4830000000002</v>
      </c>
      <c r="D59" s="15">
        <v>6521.634</v>
      </c>
      <c r="E59" s="15">
        <v>6122.6629999999996</v>
      </c>
      <c r="F59" s="15">
        <v>5793.0690000000004</v>
      </c>
      <c r="G59" s="15">
        <v>5500.2809999999999</v>
      </c>
      <c r="H59" s="15">
        <v>5251.692</v>
      </c>
    </row>
    <row r="60" spans="1:8" ht="14" x14ac:dyDescent="0.3">
      <c r="A60" s="5" t="s">
        <v>59</v>
      </c>
      <c r="B60" s="16">
        <v>50.72</v>
      </c>
      <c r="C60" s="16">
        <v>89.12</v>
      </c>
      <c r="D60" s="16">
        <v>65.209999999999994</v>
      </c>
      <c r="E60" s="16">
        <v>100.75</v>
      </c>
      <c r="F60" s="16">
        <v>110.3</v>
      </c>
      <c r="G60" s="16">
        <v>113.05</v>
      </c>
      <c r="H60" s="16">
        <v>154.12</v>
      </c>
    </row>
  </sheetData>
  <phoneticPr fontId="1" type="noConversion"/>
  <pageMargins left="0.7" right="0.7" top="0.75" bottom="0.75" header="0.3" footer="0.3"/>
  <pictur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5310A-3898-43FC-9892-01A0D7CAF9EE}">
  <dimension ref="A1:I54"/>
  <sheetViews>
    <sheetView workbookViewId="0">
      <selection activeCell="E1" sqref="E1"/>
    </sheetView>
  </sheetViews>
  <sheetFormatPr defaultColWidth="9.08203125" defaultRowHeight="12.5" x14ac:dyDescent="0.25"/>
  <cols>
    <col min="1" max="1" width="32.5" style="5" customWidth="1"/>
    <col min="2" max="9" width="15.08203125" style="5" customWidth="1"/>
    <col min="10" max="16384" width="9.08203125" style="5"/>
  </cols>
  <sheetData>
    <row r="1" spans="1:9" ht="14" x14ac:dyDescent="0.3">
      <c r="A1" s="17" t="s">
        <v>60</v>
      </c>
      <c r="B1" s="4">
        <v>40816</v>
      </c>
      <c r="C1" s="4">
        <v>41182</v>
      </c>
      <c r="D1" s="4">
        <v>41547</v>
      </c>
      <c r="E1" s="4">
        <v>41912</v>
      </c>
      <c r="F1" s="4">
        <v>42277</v>
      </c>
      <c r="G1" s="4">
        <v>42643</v>
      </c>
      <c r="H1" s="4">
        <v>43008</v>
      </c>
      <c r="I1" s="18" t="s">
        <v>61</v>
      </c>
    </row>
    <row r="2" spans="1:9" x14ac:dyDescent="0.25">
      <c r="A2" s="5" t="s">
        <v>62</v>
      </c>
      <c r="B2" s="19">
        <f>'第二部分 Financials'!B26/'第二部分 Financials'!B40</f>
        <v>1.6084376117268502</v>
      </c>
      <c r="C2" s="19">
        <f>'第二部分 Financials'!C26/'第二部分 Financials'!C40</f>
        <v>1.4958486845519174</v>
      </c>
      <c r="D2" s="19">
        <f>'第二部分 Financials'!D26/'第二部分 Financials'!D40</f>
        <v>1.6786385084062485</v>
      </c>
      <c r="E2" s="19">
        <f>'第二部分 Financials'!E26/'第二部分 Financials'!E40</f>
        <v>1.0801128483167317</v>
      </c>
      <c r="F2" s="19">
        <f>'第二部分 Financials'!F26/'第二部分 Financials'!F40</f>
        <v>1.1136583550427988</v>
      </c>
      <c r="G2" s="19">
        <f>'第二部分 Financials'!G26/'第二部分 Financials'!G40</f>
        <v>1.352669417512594</v>
      </c>
      <c r="H2" s="19">
        <f>'第二部分 Financials'!H26/'第二部分 Financials'!H40</f>
        <v>1.2760628484139107</v>
      </c>
      <c r="I2" s="19">
        <f>AVERAGE(D2:H2)</f>
        <v>1.3002283955384566</v>
      </c>
    </row>
    <row r="3" spans="1:9" x14ac:dyDescent="0.25">
      <c r="A3" s="5" t="s">
        <v>63</v>
      </c>
      <c r="B3" s="20">
        <f>('第二部分 Financials'!B20+'第二部分 Financials'!B21+'第二部分 Financials'!B28)/'第二部分 Financials'!B32</f>
        <v>0.70094783064509203</v>
      </c>
      <c r="C3" s="20">
        <f>('第二部分 Financials'!C20+'第二部分 Financials'!C21+'第二部分 Financials'!C28)/'第二部分 Financials'!C32</f>
        <v>0.68867570883315155</v>
      </c>
      <c r="D3" s="20">
        <f>('第二部分 Financials'!D20+'第二部分 Financials'!D21+'第二部分 Financials'!D28)/'第二部分 Financials'!D32</f>
        <v>0.7092028985507246</v>
      </c>
      <c r="E3" s="20">
        <f>('第二部分 Financials'!E20+'第二部分 Financials'!E21+'第二部分 Financials'!E28)/'第二部分 Financials'!E32</f>
        <v>0.66994767920841614</v>
      </c>
      <c r="F3" s="20">
        <f>('第二部分 Financials'!F20+'第二部分 Financials'!F21+'第二部分 Financials'!F28)/'第二部分 Financials'!F32</f>
        <v>0.70841913824933911</v>
      </c>
      <c r="G3" s="20">
        <f>('第二部分 Financials'!G20+'第二部分 Financials'!G21+'第二部分 Financials'!G28)/'第二部分 Financials'!G32</f>
        <v>0.73856182737203357</v>
      </c>
      <c r="H3" s="20">
        <f>('第二部分 Financials'!H20+'第二部分 Financials'!H21+'第二部分 Financials'!H28)/'第二部分 Financials'!H32</f>
        <v>0.71644387840743473</v>
      </c>
      <c r="I3" s="20">
        <f>AVERAGE(D3:H3)</f>
        <v>0.70851508435758959</v>
      </c>
    </row>
    <row r="5" spans="1:9" ht="14" x14ac:dyDescent="0.3">
      <c r="A5" s="17" t="s">
        <v>64</v>
      </c>
      <c r="B5" s="4">
        <v>40816</v>
      </c>
      <c r="C5" s="4">
        <v>41182</v>
      </c>
      <c r="D5" s="4">
        <v>41547</v>
      </c>
      <c r="E5" s="4">
        <v>41912</v>
      </c>
      <c r="F5" s="4">
        <v>42277</v>
      </c>
      <c r="G5" s="4">
        <v>42643</v>
      </c>
      <c r="H5" s="4">
        <v>43008</v>
      </c>
      <c r="I5" s="18" t="s">
        <v>61</v>
      </c>
    </row>
    <row r="6" spans="1:9" x14ac:dyDescent="0.25">
      <c r="A6" s="5" t="s">
        <v>65</v>
      </c>
      <c r="B6" s="21">
        <f>365*'第二部分 Financials'!B22/'第二部分 Financials'!B5</f>
        <v>18.103492872913375</v>
      </c>
      <c r="C6" s="21">
        <f>365*'第二部分 Financials'!C22/'第二部分 Financials'!C5</f>
        <v>25.490390267590154</v>
      </c>
      <c r="D6" s="21">
        <f>365*'第二部分 Financials'!D22/'第二部分 Financials'!D5</f>
        <v>27.980984143701363</v>
      </c>
      <c r="E6" s="21">
        <f>365*'第二部分 Financials'!E22/'第二部分 Financials'!E5</f>
        <v>34.863645066878199</v>
      </c>
      <c r="F6" s="21">
        <f>365*'第二部分 Financials'!F22/'第二部分 Financials'!F5</f>
        <v>26.313608454741885</v>
      </c>
      <c r="G6" s="21">
        <f>365*'第二部分 Financials'!G22/'第二部分 Financials'!G5</f>
        <v>26.665909227922594</v>
      </c>
      <c r="H6" s="21">
        <f>365*'第二部分 Financials'!H22/'第二部分 Financials'!H5</f>
        <v>28.46004519399391</v>
      </c>
      <c r="I6" s="19">
        <f>AVERAGE(D6:H6)</f>
        <v>28.856838417447591</v>
      </c>
    </row>
    <row r="7" spans="1:9" x14ac:dyDescent="0.25">
      <c r="A7" s="5" t="s">
        <v>66</v>
      </c>
      <c r="B7" s="21">
        <f>365*'第二部分 Financials'!B23/'第二部分 Financials'!B6</f>
        <v>4.3960205491145565</v>
      </c>
      <c r="C7" s="21">
        <f>365*'第二部分 Financials'!C23/'第二部分 Financials'!C6</f>
        <v>3.2866038294287732</v>
      </c>
      <c r="D7" s="21">
        <f>365*'第二部分 Financials'!D23/'第二部分 Financials'!D6</f>
        <v>6.0396225353169619</v>
      </c>
      <c r="E7" s="21">
        <f>365*'第二部分 Financials'!E23/'第二部分 Financials'!E6</f>
        <v>6.8637869906821782</v>
      </c>
      <c r="F7" s="21">
        <f>365*'第二部分 Financials'!F23/'第二部分 Financials'!F6</f>
        <v>6.1202878170306017</v>
      </c>
      <c r="G7" s="21">
        <f>365*'第二部分 Financials'!G23/'第二部分 Financials'!G6</f>
        <v>5.9233041042503958</v>
      </c>
      <c r="H7" s="21">
        <f>365*'第二部分 Financials'!H23/'第二部分 Financials'!H6</f>
        <v>12.563630820713517</v>
      </c>
      <c r="I7" s="19">
        <f>AVERAGE(D7:H7)</f>
        <v>7.5021264535987315</v>
      </c>
    </row>
    <row r="8" spans="1:9" x14ac:dyDescent="0.25">
      <c r="A8" s="5" t="s">
        <v>67</v>
      </c>
      <c r="B8" s="21">
        <f>365*'第二部分 Financials'!B35/'第二部分 Financials'!B6</f>
        <v>82.889913240520869</v>
      </c>
      <c r="C8" s="21">
        <f>365*'第二部分 Financials'!C35/'第二部分 Financials'!C6</f>
        <v>87.98209366391184</v>
      </c>
      <c r="D8" s="21">
        <f>365*'第二部分 Financials'!D35/'第二部分 Financials'!D6</f>
        <v>76.580633360223629</v>
      </c>
      <c r="E8" s="21">
        <f>365*'第二部分 Financials'!E35/'第二部分 Financials'!E6</f>
        <v>98.180441483012345</v>
      </c>
      <c r="F8" s="21">
        <f>365*'第二部分 Financials'!F35/'第二部分 Financials'!F6</f>
        <v>92.468716316056216</v>
      </c>
      <c r="G8" s="21">
        <f>365*'第二部分 Financials'!G35/'第二部分 Financials'!G6</f>
        <v>103.61336926074777</v>
      </c>
      <c r="H8" s="21">
        <f>365*'第二部分 Financials'!H35/'第二部分 Financials'!H6</f>
        <v>126.92760620497987</v>
      </c>
      <c r="I8" s="19">
        <f>AVERAGE(D8:H8)</f>
        <v>99.554153325003966</v>
      </c>
    </row>
    <row r="9" spans="1:9" x14ac:dyDescent="0.25">
      <c r="A9" s="5" t="s">
        <v>68</v>
      </c>
      <c r="B9" s="21">
        <f>B6+B7-B8</f>
        <v>-60.390399818492938</v>
      </c>
      <c r="C9" s="21">
        <f t="shared" ref="C9:H9" si="0">C6+C7-C8</f>
        <v>-59.205099566892912</v>
      </c>
      <c r="D9" s="21">
        <f t="shared" si="0"/>
        <v>-42.560026681205301</v>
      </c>
      <c r="E9" s="21">
        <f t="shared" si="0"/>
        <v>-56.453009425451967</v>
      </c>
      <c r="F9" s="21">
        <f t="shared" si="0"/>
        <v>-60.034820044283727</v>
      </c>
      <c r="G9" s="21">
        <f t="shared" si="0"/>
        <v>-71.024155928574785</v>
      </c>
      <c r="H9" s="21">
        <f t="shared" si="0"/>
        <v>-85.903930190272433</v>
      </c>
      <c r="I9" s="19">
        <f>AVERAGE(D9:H9)</f>
        <v>-63.195188453957641</v>
      </c>
    </row>
    <row r="11" spans="1:9" ht="14" x14ac:dyDescent="0.3">
      <c r="A11" s="17" t="s">
        <v>69</v>
      </c>
      <c r="B11" s="4">
        <v>40816</v>
      </c>
      <c r="C11" s="4">
        <v>41182</v>
      </c>
      <c r="D11" s="4">
        <v>41547</v>
      </c>
      <c r="E11" s="4">
        <v>41912</v>
      </c>
      <c r="F11" s="4">
        <v>42277</v>
      </c>
      <c r="G11" s="4">
        <v>42643</v>
      </c>
      <c r="H11" s="4">
        <v>43008</v>
      </c>
      <c r="I11" s="18" t="s">
        <v>61</v>
      </c>
    </row>
    <row r="12" spans="1:9" x14ac:dyDescent="0.25">
      <c r="A12" s="5" t="s">
        <v>70</v>
      </c>
      <c r="B12" s="22" t="str">
        <f>IF('第二部分 Financials'!B12=0,"n.a.",'第二部分 Financials'!B10/('第二部分 Financials'!B12))</f>
        <v>n.a.</v>
      </c>
      <c r="C12" s="22" t="str">
        <f>IF('第二部分 Financials'!C12=0,"n.a.",'第二部分 Financials'!C10/('第二部分 Financials'!C12))</f>
        <v>n.a.</v>
      </c>
      <c r="D12" s="22">
        <f>IF('第二部分 Financials'!D12=0,"n.a.",'第二部分 Financials'!D10/('第二部分 Financials'!D12))</f>
        <v>360.28676470588238</v>
      </c>
      <c r="E12" s="22">
        <f>IF('第二部分 Financials'!E12=0,"n.a.",'第二部分 Financials'!E10/('第二部分 Financials'!E12))</f>
        <v>136.7265625</v>
      </c>
      <c r="F12" s="22">
        <f>IF('第二部分 Financials'!F12=0,"n.a.",'第二部分 Financials'!F10/('第二部分 Financials'!F12))</f>
        <v>97.17598908594816</v>
      </c>
      <c r="G12" s="22">
        <f>IF('第二部分 Financials'!G12=0,"n.a.",'第二部分 Financials'!G10/('第二部分 Financials'!G12))</f>
        <v>41.225274725274723</v>
      </c>
      <c r="H12" s="22">
        <f>IF('第二部分 Financials'!H12=0,"n.a.",'第二部分 Financials'!H10/('第二部分 Financials'!H12))</f>
        <v>26.407232027550581</v>
      </c>
      <c r="I12" s="19">
        <f>AVERAGE(D12:H12)</f>
        <v>132.36436460893117</v>
      </c>
    </row>
    <row r="13" spans="1:9" x14ac:dyDescent="0.25">
      <c r="A13" s="5" t="s">
        <v>71</v>
      </c>
      <c r="B13" s="20">
        <f>('第二部分 Financials'!B38+'第二部分 Financials'!B39+'第二部分 Financials'!B42)/('第二部分 Financials'!B38+'第二部分 Financials'!B39+'第二部分 Financials'!B42+'第二部分 Financials'!B48)</f>
        <v>0</v>
      </c>
      <c r="C13" s="20">
        <f>('第二部分 Financials'!C38+'第二部分 Financials'!C39+'第二部分 Financials'!C42)/('第二部分 Financials'!C38+'第二部分 Financials'!C39+'第二部分 Financials'!C42+'第二部分 Financials'!C48)</f>
        <v>0</v>
      </c>
      <c r="D13" s="20">
        <f>('第二部分 Financials'!D38+'第二部分 Financials'!D39+'第二部分 Financials'!D42)/('第二部分 Financials'!D38+'第二部分 Financials'!D39+'第二部分 Financials'!D42+'第二部分 Financials'!D48)</f>
        <v>0.12070401184265776</v>
      </c>
      <c r="E13" s="20">
        <f>('第二部分 Financials'!E38+'第二部分 Financials'!E39+'第二部分 Financials'!E42)/('第二部分 Financials'!E38+'第二部分 Financials'!E39+'第二部分 Financials'!E42+'第二部分 Financials'!E48)</f>
        <v>0.24036038735511639</v>
      </c>
      <c r="F13" s="20">
        <f>('第二部分 Financials'!F38+'第二部分 Financials'!F39+'第二部分 Financials'!F42)/('第二部分 Financials'!F38+'第二部分 Financials'!F39+'第二部分 Financials'!F42+'第二部分 Financials'!F48)</f>
        <v>0.35068573635735539</v>
      </c>
      <c r="G13" s="20">
        <f>('第二部分 Financials'!G38+'第二部分 Financials'!G39+'第二部分 Financials'!G42)/('第二部分 Financials'!G38+'第二部分 Financials'!G39+'第二部分 Financials'!G42+'第二部分 Financials'!G48)</f>
        <v>0.40427162638597924</v>
      </c>
      <c r="H13" s="20">
        <f>('第二部分 Financials'!H38+'第二部分 Financials'!H39+'第二部分 Financials'!H42)/('第二部分 Financials'!H38+'第二部分 Financials'!H39+'第二部分 Financials'!H42+'第二部分 Financials'!H48)</f>
        <v>0.46322584262014121</v>
      </c>
      <c r="I13" s="20">
        <f>AVERAGE(D13:H13)</f>
        <v>0.31584952091224999</v>
      </c>
    </row>
    <row r="14" spans="1:9" x14ac:dyDescent="0.25">
      <c r="A14" s="5" t="s">
        <v>72</v>
      </c>
      <c r="B14" s="20">
        <f>('第二部分 Financials'!B38+'第二部分 Financials'!B39+'第二部分 Financials'!B42)/('第二部分 Financials'!B38+'第二部分 Financials'!B39+'第二部分 Financials'!B42+'第二部分 Financials'!B59*'第二部分 Financials'!B60)</f>
        <v>0</v>
      </c>
      <c r="C14" s="20">
        <f>('第二部分 Financials'!C38+'第二部分 Financials'!C39+'第二部分 Financials'!C42)/('第二部分 Financials'!C38+'第二部分 Financials'!C39+'第二部分 Financials'!C42+'第二部分 Financials'!C59*'第二部分 Financials'!C60)</f>
        <v>0</v>
      </c>
      <c r="D14" s="20">
        <f>('第二部分 Financials'!D38+'第二部分 Financials'!D39+'第二部分 Financials'!D42)/('第二部分 Financials'!D38+'第二部分 Financials'!D39+'第二部分 Financials'!D42+'第二部分 Financials'!D59*'第二部分 Financials'!D60)</f>
        <v>3.8350585359910774E-2</v>
      </c>
      <c r="E14" s="20">
        <f>('第二部分 Financials'!E38+'第二部分 Financials'!E39+'第二部分 Financials'!E42)/('第二部分 Financials'!E38+'第二部分 Financials'!E39+'第二部分 Financials'!E42+'第二部分 Financials'!E59*'第二部分 Financials'!E60)</f>
        <v>5.4120710803475129E-2</v>
      </c>
      <c r="F14" s="20">
        <f>('第二部分 Financials'!F38+'第二部分 Financials'!F39+'第二部分 Financials'!F42)/('第二部分 Financials'!F38+'第二部分 Financials'!F39+'第二部分 Financials'!F42+'第二部分 Financials'!F59*'第二部分 Financials'!F60)</f>
        <v>9.1638559245799972E-2</v>
      </c>
      <c r="G14" s="20">
        <f>('第二部分 Financials'!G38+'第二部分 Financials'!G39+'第二部分 Financials'!G42)/('第二部分 Financials'!G38+'第二部分 Financials'!G39+'第二部分 Financials'!G42+'第二部分 Financials'!G59*'第二部分 Financials'!G60)</f>
        <v>0.12278109500444541</v>
      </c>
      <c r="H14" s="20">
        <f>('第二部分 Financials'!H38+'第二部分 Financials'!H39+'第二部分 Financials'!H42)/('第二部分 Financials'!H38+'第二部分 Financials'!H39+'第二部分 Financials'!H42+'第二部分 Financials'!H59*'第二部分 Financials'!H60)</f>
        <v>0.12504989198820768</v>
      </c>
      <c r="I14" s="20">
        <f>AVERAGE(D14:H14)</f>
        <v>8.6388168480367789E-2</v>
      </c>
    </row>
    <row r="15" spans="1:9" x14ac:dyDescent="0.25">
      <c r="A15" s="5" t="s">
        <v>73</v>
      </c>
      <c r="B15" s="19">
        <f>('第二部分 Financials'!B38+'第二部分 Financials'!B39+'第二部分 Financials'!B42)/('第二部分 Financials'!B10+'第二部分 Financials'!B54)</f>
        <v>0</v>
      </c>
      <c r="C15" s="19">
        <f>('第二部分 Financials'!C38+'第二部分 Financials'!C39+'第二部分 Financials'!C42)/('第二部分 Financials'!C10+'第二部分 Financials'!C54)</f>
        <v>0</v>
      </c>
      <c r="D15" s="19">
        <f>('第二部分 Financials'!D38+'第二部分 Financials'!D39+'第二部分 Financials'!D42)/('第二部分 Financials'!D10+'第二部分 Financials'!D54)</f>
        <v>0.30418250950570341</v>
      </c>
      <c r="E15" s="19">
        <f>('第二部分 Financials'!E38+'第二部分 Financials'!E39+'第二部分 Financials'!E42)/('第二部分 Financials'!E10+'第二部分 Financials'!E54)</f>
        <v>0.5838806266439478</v>
      </c>
      <c r="F15" s="19">
        <f>('第二部分 Financials'!F38+'第二部分 Financials'!F39+'第二部分 Financials'!F42)/('第二部分 Financials'!F10+'第二部分 Financials'!F54)</f>
        <v>0.78148071817377285</v>
      </c>
      <c r="G15" s="19">
        <f>('第二部分 Financials'!G38+'第二部分 Financials'!G39+'第二部分 Financials'!G42)/('第二部分 Financials'!G10+'第二部分 Financials'!G54)</f>
        <v>1.2339888556480314</v>
      </c>
      <c r="H15" s="19">
        <f>('第二部分 Financials'!H38+'第二部分 Financials'!H39+'第二部分 Financials'!H42)/('第二部分 Financials'!H10+'第二部分 Financials'!H54)</f>
        <v>1.6178794702171997</v>
      </c>
      <c r="I15" s="19">
        <f>AVERAGE(D15:H15)</f>
        <v>0.90428243603773095</v>
      </c>
    </row>
    <row r="17" spans="1:9" ht="14" x14ac:dyDescent="0.3">
      <c r="A17" s="17" t="s">
        <v>74</v>
      </c>
      <c r="B17" s="4">
        <v>40816</v>
      </c>
      <c r="C17" s="4">
        <v>41182</v>
      </c>
      <c r="D17" s="4">
        <v>41547</v>
      </c>
      <c r="E17" s="4">
        <v>41912</v>
      </c>
      <c r="F17" s="4">
        <v>42277</v>
      </c>
      <c r="G17" s="4">
        <v>42643</v>
      </c>
      <c r="H17" s="4">
        <v>43008</v>
      </c>
      <c r="I17" s="18" t="s">
        <v>61</v>
      </c>
    </row>
    <row r="18" spans="1:9" x14ac:dyDescent="0.25">
      <c r="A18" s="5" t="s">
        <v>75</v>
      </c>
      <c r="B18" s="20">
        <f>'第二部分 Financials'!B16/('第二部分 Financials'!B48)</f>
        <v>0.3383410559289956</v>
      </c>
      <c r="C18" s="20">
        <f>'第二部分 Financials'!C16/('第二部分 Financials'!C48)</f>
        <v>0.35304119786820065</v>
      </c>
      <c r="D18" s="20">
        <f>'第二部分 Financials'!D16/('第二部分 Financials'!D48)</f>
        <v>0.29977579745687943</v>
      </c>
      <c r="E18" s="20">
        <f>'第二部分 Financials'!E16/('第二部分 Financials'!E48)</f>
        <v>0.35420047155010892</v>
      </c>
      <c r="F18" s="20">
        <f>'第二部分 Financials'!F16/('第二部分 Financials'!F48)</f>
        <v>0.44735453060198566</v>
      </c>
      <c r="G18" s="20">
        <f>'第二部分 Financials'!G16/('第二部分 Financials'!G48)</f>
        <v>0.35623669580269629</v>
      </c>
      <c r="H18" s="20">
        <f>'第二部分 Financials'!H16/('第二部分 Financials'!H48)</f>
        <v>0.36070184338329092</v>
      </c>
      <c r="I18" s="20">
        <f t="shared" ref="I18:I24" si="1">AVERAGE(D18:H18)</f>
        <v>0.36365386775899228</v>
      </c>
    </row>
    <row r="19" spans="1:9" x14ac:dyDescent="0.25">
      <c r="A19" s="5" t="s">
        <v>76</v>
      </c>
      <c r="B19" s="20">
        <f>'第二部分 Financials'!B16/'第二部分 Financials'!B32</f>
        <v>0.22275309140593447</v>
      </c>
      <c r="C19" s="20">
        <f>'第二部分 Financials'!C16/'第二部分 Financials'!C32</f>
        <v>0.23703312431842966</v>
      </c>
      <c r="D19" s="20">
        <f>'第二部分 Financials'!D16/'第二部分 Financials'!D32</f>
        <v>0.17892270531400967</v>
      </c>
      <c r="E19" s="20">
        <f>'第二部分 Financials'!E16/'第二部分 Financials'!E32</f>
        <v>0.17041998973425523</v>
      </c>
      <c r="F19" s="20">
        <f>'第二部分 Financials'!F16/'第二部分 Financials'!F32</f>
        <v>0.1835646484892032</v>
      </c>
      <c r="G19" s="20">
        <f>'第二部分 Financials'!G16/'第二部分 Financials'!G32</f>
        <v>0.14202358821956815</v>
      </c>
      <c r="H19" s="20">
        <f>'第二部分 Financials'!H16/'第二部分 Financials'!H32</f>
        <v>0.12882641166580963</v>
      </c>
      <c r="I19" s="20">
        <f t="shared" si="1"/>
        <v>0.16075146868456919</v>
      </c>
    </row>
    <row r="20" spans="1:9" x14ac:dyDescent="0.25">
      <c r="A20" s="5" t="s">
        <v>77</v>
      </c>
      <c r="B20" s="20">
        <f>'第二部分 Financials'!B10*0.65/('第二部分 Financials'!B38+'第二部分 Financials'!B39+'第二部分 Financials'!B42+'第二部分 Financials'!B48)</f>
        <v>0.28667362787965806</v>
      </c>
      <c r="C20" s="20">
        <f>'第二部分 Financials'!C10*0.65/('第二部分 Financials'!C38+'第二部分 Financials'!C39+'第二部分 Financials'!C42+'第二部分 Financials'!C48)</f>
        <v>0.30375306657643181</v>
      </c>
      <c r="D20" s="20">
        <f>'第二部分 Financials'!D10*0.65/('第二部分 Financials'!D38+'第二部分 Financials'!D39+'第二部分 Financials'!D42+'第二部分 Financials'!D48)</f>
        <v>0.22667124525831087</v>
      </c>
      <c r="E20" s="20">
        <f>'第二部分 Financials'!E10*0.65/('第二部分 Financials'!E38+'第二部分 Financials'!E39+'第二部分 Financials'!E42+'第二部分 Financials'!E48)</f>
        <v>0.23240591928739737</v>
      </c>
      <c r="F20" s="20">
        <f>'第二部分 Financials'!F10*0.65/('第二部分 Financials'!F38+'第二部分 Financials'!F39+'第二部分 Financials'!F42+'第二部分 Financials'!F48)</f>
        <v>0.25187822671461291</v>
      </c>
      <c r="G20" s="20">
        <f>'第二部分 Financials'!G10*0.65/('第二部分 Financials'!G38+'第二部分 Financials'!G39+'第二部分 Financials'!G42+'第二部分 Financials'!G48)</f>
        <v>0.18123104221923902</v>
      </c>
      <c r="H20" s="20">
        <f>'第二部分 Financials'!H10*0.65/('第二部分 Financials'!H38+'第二部分 Financials'!H39+'第二部分 Financials'!H42+'第二部分 Financials'!H48)</f>
        <v>0.15966875828404617</v>
      </c>
      <c r="I20" s="20">
        <f t="shared" si="1"/>
        <v>0.21037103835272125</v>
      </c>
    </row>
    <row r="21" spans="1:9" x14ac:dyDescent="0.25">
      <c r="A21" s="5" t="s">
        <v>78</v>
      </c>
      <c r="B21" s="20">
        <f>'第二部分 Financials'!B10*0.65/('第二部分 Financials'!B38+'第二部分 Financials'!B39+'第二部分 Financials'!B42+'第二部分 Financials'!B59*'第二部分 Financials'!B60)</f>
        <v>6.6046414290776553E-2</v>
      </c>
      <c r="C21" s="20">
        <f>'第二部分 Financials'!C10*0.65/('第二部分 Financials'!C38+'第二部分 Financials'!C39+'第二部分 Financials'!C42+'第二部分 Financials'!C59*'第二部分 Financials'!C60)</f>
        <v>6.0884518571006872E-2</v>
      </c>
      <c r="D21" s="20">
        <f>'第二部分 Financials'!D10*0.65/('第二部分 Financials'!D38+'第二部分 Financials'!D39+'第二部分 Financials'!D42+'第二部分 Financials'!D59*'第二部分 Financials'!D60)</f>
        <v>7.2018939612775612E-2</v>
      </c>
      <c r="E21" s="20">
        <f>'第二部分 Financials'!E10*0.65/('第二部分 Financials'!E38+'第二部分 Financials'!E39+'第二部分 Financials'!E42+'第二部分 Financials'!E59*'第二部分 Financials'!E60)</f>
        <v>5.2329644186277259E-2</v>
      </c>
      <c r="F21" s="20">
        <f>'第二部分 Financials'!F10*0.65/('第二部分 Financials'!F38+'第二部分 Financials'!F39+'第二部分 Financials'!F42+'第二部分 Financials'!F59*'第二部分 Financials'!F60)</f>
        <v>6.5818923921083988E-2</v>
      </c>
      <c r="G21" s="20">
        <f>'第二部分 Financials'!G10*0.65/('第二部分 Financials'!G38+'第二部分 Financials'!G39+'第二部分 Financials'!G42+'第二部分 Financials'!G59*'第二部分 Financials'!G60)</f>
        <v>5.5041571953481937E-2</v>
      </c>
      <c r="H21" s="20">
        <f>'第二部分 Financials'!H10*0.65/('第二部分 Financials'!H38+'第二部分 Financials'!H39+'第二部分 Financials'!H42+'第二部分 Financials'!H59*'第二部分 Financials'!H60)</f>
        <v>4.310329679444154E-2</v>
      </c>
      <c r="I21" s="20">
        <f t="shared" si="1"/>
        <v>5.766247529361207E-2</v>
      </c>
    </row>
    <row r="22" spans="1:9" x14ac:dyDescent="0.25">
      <c r="A22" s="5" t="s">
        <v>79</v>
      </c>
      <c r="B22" s="20">
        <f>'第二部分 Financials'!B16/'第二部分 Financials'!B5</f>
        <v>0.2394664153941376</v>
      </c>
      <c r="C22" s="20">
        <f>'第二部分 Financials'!C16/'第二部分 Financials'!C5</f>
        <v>0.26665090602397323</v>
      </c>
      <c r="D22" s="20">
        <f>'第二部分 Financials'!D16/'第二部分 Financials'!D5</f>
        <v>0.21670469837926393</v>
      </c>
      <c r="E22" s="20">
        <f>'第二部分 Financials'!E16/'第二部分 Financials'!E5</f>
        <v>0.21614376760852322</v>
      </c>
      <c r="F22" s="20">
        <f>'第二部分 Financials'!F16/'第二部分 Financials'!F5</f>
        <v>0.22845773698735639</v>
      </c>
      <c r="G22" s="20">
        <f>'第二部分 Financials'!G16/'第二部分 Financials'!G5</f>
        <v>0.211867983064288</v>
      </c>
      <c r="H22" s="20">
        <f>'第二部分 Financials'!H16/'第二部分 Financials'!H5</f>
        <v>0.21092420845075338</v>
      </c>
      <c r="I22" s="20">
        <f t="shared" si="1"/>
        <v>0.21681967889803699</v>
      </c>
    </row>
    <row r="23" spans="1:9" x14ac:dyDescent="0.25">
      <c r="A23" s="5" t="s">
        <v>80</v>
      </c>
      <c r="B23" s="19">
        <f>'第二部分 Financials'!B5/'第二部分 Financials'!B32</f>
        <v>0.93020597915288172</v>
      </c>
      <c r="C23" s="19">
        <f>'第二部分 Financials'!C5/'第二部分 Financials'!C32</f>
        <v>0.88892675390766995</v>
      </c>
      <c r="D23" s="19">
        <f>'第二部分 Financials'!D5/'第二部分 Financials'!D32</f>
        <v>0.82565217391304346</v>
      </c>
      <c r="E23" s="19">
        <f>'第二部分 Financials'!E5/'第二部分 Financials'!E32</f>
        <v>0.78845664448173081</v>
      </c>
      <c r="F23" s="19">
        <f>'第二部分 Financials'!F5/'第二部分 Financials'!F32</f>
        <v>0.80349499609795338</v>
      </c>
      <c r="G23" s="19">
        <f>'第二部分 Financials'!G5/'第二部分 Financials'!G32</f>
        <v>0.67034002101428103</v>
      </c>
      <c r="H23" s="19">
        <f>'第二部分 Financials'!H5/'第二部分 Financials'!H32</f>
        <v>0.61077110404749024</v>
      </c>
      <c r="I23" s="23">
        <f t="shared" si="1"/>
        <v>0.73974298791089976</v>
      </c>
    </row>
    <row r="24" spans="1:9" x14ac:dyDescent="0.25">
      <c r="A24" s="5" t="s">
        <v>81</v>
      </c>
      <c r="B24" s="19">
        <f>'第二部分 Financials'!B32/'第二部分 Financials'!B48</f>
        <v>1.5189062194087319</v>
      </c>
      <c r="C24" s="19">
        <f>'第二部分 Financials'!C32/'第二部分 Financials'!C48</f>
        <v>1.4894171389899331</v>
      </c>
      <c r="D24" s="19">
        <f>'第二部分 Financials'!D32/'第二部分 Financials'!D48</f>
        <v>1.6754486074351067</v>
      </c>
      <c r="E24" s="19">
        <f>'第二部分 Financials'!E32/'第二部分 Financials'!E48</f>
        <v>2.0783974468161404</v>
      </c>
      <c r="F24" s="19">
        <f>'第二部分 Financials'!F32/'第二部分 Financials'!F48</f>
        <v>2.4370407607557287</v>
      </c>
      <c r="G24" s="19">
        <f>'第二部分 Financials'!G32/'第二部分 Financials'!G48</f>
        <v>2.5082924623193943</v>
      </c>
      <c r="H24" s="19">
        <f>'第二部分 Financials'!H32/'第二部分 Financials'!H48</f>
        <v>2.7999060031183092</v>
      </c>
      <c r="I24" s="23">
        <f t="shared" si="1"/>
        <v>2.2998170560889362</v>
      </c>
    </row>
    <row r="26" spans="1:9" ht="14" x14ac:dyDescent="0.3">
      <c r="A26" s="17" t="s">
        <v>82</v>
      </c>
      <c r="B26" s="4">
        <v>40816</v>
      </c>
      <c r="C26" s="4">
        <v>41182</v>
      </c>
      <c r="D26" s="4">
        <v>41547</v>
      </c>
      <c r="E26" s="4">
        <v>41912</v>
      </c>
      <c r="F26" s="4">
        <v>42277</v>
      </c>
      <c r="G26" s="4">
        <v>42643</v>
      </c>
      <c r="H26" s="4">
        <v>43008</v>
      </c>
      <c r="I26" s="18" t="s">
        <v>61</v>
      </c>
    </row>
    <row r="27" spans="1:9" x14ac:dyDescent="0.25">
      <c r="A27" s="5" t="s">
        <v>83</v>
      </c>
      <c r="C27" s="20">
        <f>'第二部分 Financials'!C5/'第二部分 Financials'!B5-1</f>
        <v>0.44581474193756976</v>
      </c>
      <c r="D27" s="20">
        <f>'第二部分 Financials'!D5/'第二部分 Financials'!C5-1</f>
        <v>9.2020855163953197E-2</v>
      </c>
      <c r="E27" s="20">
        <f>'第二部分 Financials'!E5/'第二部分 Financials'!D5-1</f>
        <v>6.9539523725937524E-2</v>
      </c>
      <c r="F27" s="20">
        <f>'第二部分 Financials'!F5/'第二部分 Financials'!E5-1</f>
        <v>0.27856341803659834</v>
      </c>
      <c r="G27" s="20">
        <f>'第二部分 Financials'!G5/'第二部分 Financials'!F5-1</f>
        <v>-7.7342061913013738E-2</v>
      </c>
      <c r="H27" s="20">
        <f>'第二部分 Financials'!H5/'第二部分 Financials'!G5-1</f>
        <v>6.304518199398057E-2</v>
      </c>
      <c r="I27" s="20">
        <f>AVERAGE(D27:H27)</f>
        <v>8.5165383401491185E-2</v>
      </c>
    </row>
    <row r="28" spans="1:9" x14ac:dyDescent="0.25">
      <c r="A28" s="5" t="s">
        <v>84</v>
      </c>
      <c r="C28" s="20">
        <f>'第二部分 Financials'!C10/'第二部分 Financials'!B10-1</f>
        <v>0.63483279076649901</v>
      </c>
      <c r="D28" s="20">
        <f>'第二部分 Financials'!D10/'第二部分 Financials'!C10-1</f>
        <v>-0.11299578211835415</v>
      </c>
      <c r="E28" s="20">
        <f>'第二部分 Financials'!E10/'第二部分 Financials'!D10-1</f>
        <v>7.151166350333682E-2</v>
      </c>
      <c r="F28" s="20">
        <f>'第二部分 Financials'!F10/'第二部分 Financials'!E10-1</f>
        <v>0.35668437994019397</v>
      </c>
      <c r="G28" s="20">
        <f>'第二部分 Financials'!G10/'第二部分 Financials'!F10-1</f>
        <v>-0.15732135336234732</v>
      </c>
      <c r="H28" s="20">
        <f>'第二部分 Financials'!H10/'第二部分 Financials'!G10-1</f>
        <v>2.1991203518592517E-2</v>
      </c>
      <c r="I28" s="20">
        <f>AVERAGE(D28:H28)</f>
        <v>3.5974022296284366E-2</v>
      </c>
    </row>
    <row r="29" spans="1:9" x14ac:dyDescent="0.25">
      <c r="A29" s="5" t="s">
        <v>85</v>
      </c>
      <c r="C29" s="20">
        <f>('第二部分 Financials'!C10+'第二部分 Financials'!C54)/('第二部分 Financials'!B10+'第二部分 Financials'!B54)-1</f>
        <v>0.6435793731041457</v>
      </c>
      <c r="D29" s="20">
        <f>('第二部分 Financials'!D10+'第二部分 Financials'!D54)/('第二部分 Financials'!C10+'第二部分 Financials'!C54)-1</f>
        <v>-4.7199152397552901E-2</v>
      </c>
      <c r="E29" s="20">
        <f>('第二部分 Financials'!E10+'第二部分 Financials'!E54)/('第二部分 Financials'!D10+'第二部分 Financials'!D54)-1</f>
        <v>8.4170313508860062E-2</v>
      </c>
      <c r="F29" s="20">
        <f>('第二部分 Financials'!F10+'第二部分 Financials'!F54)/('第二部分 Financials'!E10+'第二部分 Financials'!E54)-1</f>
        <v>0.36457178778805277</v>
      </c>
      <c r="G29" s="20">
        <f>('第二部分 Financials'!G10+'第二部分 Financials'!G54)/('第二部分 Financials'!F10+'第二部分 Financials'!F54)-1</f>
        <v>-0.1449682980348419</v>
      </c>
      <c r="H29" s="20">
        <f>('第二部分 Financials'!H10+'第二部分 Financials'!H54)/('第二部分 Financials'!G10+'第二部分 Financials'!G54)-1</f>
        <v>1.378156502998773E-2</v>
      </c>
      <c r="I29" s="20">
        <f>AVERAGE(D29:H29)</f>
        <v>5.4071243178901149E-2</v>
      </c>
    </row>
    <row r="30" spans="1:9" x14ac:dyDescent="0.25">
      <c r="A30" s="5" t="s">
        <v>86</v>
      </c>
      <c r="C30" s="20">
        <f>'第二部分 Financials'!C16/'第二部分 Financials'!B16-1</f>
        <v>0.60994522027621323</v>
      </c>
      <c r="D30" s="20">
        <f>'第二部分 Financials'!D16/'第二部分 Financials'!C16-1</f>
        <v>-0.11252486042220788</v>
      </c>
      <c r="E30" s="20">
        <f>'第二部分 Financials'!E16/'第二部分 Financials'!D16-1</f>
        <v>6.6771066771066812E-2</v>
      </c>
      <c r="F30" s="20">
        <f>'第二部分 Financials'!F16/'第二部分 Financials'!E16-1</f>
        <v>0.3514047076689446</v>
      </c>
      <c r="G30" s="20">
        <f>'第二部分 Financials'!G16/'第二部分 Financials'!F16-1</f>
        <v>-0.14434206090571977</v>
      </c>
      <c r="H30" s="20">
        <f>'第二部分 Financials'!H16/'第二部分 Financials'!G16-1</f>
        <v>5.830980366406191E-2</v>
      </c>
      <c r="I30" s="20">
        <f>AVERAGE(D30:H30)</f>
        <v>4.3923731355229131E-2</v>
      </c>
    </row>
    <row r="31" spans="1:9" x14ac:dyDescent="0.25">
      <c r="A31" s="5" t="s">
        <v>87</v>
      </c>
      <c r="C31" s="20">
        <f>'第二部分 Financials'!C32/'第二部分 Financials'!B32-1</f>
        <v>0.51295425836333797</v>
      </c>
      <c r="D31" s="20">
        <f>'第二部分 Financials'!D32/'第二部分 Financials'!C32-1</f>
        <v>0.17570883315158126</v>
      </c>
      <c r="E31" s="20">
        <f>'第二部分 Financials'!E32/'第二部分 Financials'!D32-1</f>
        <v>0.11999516908212571</v>
      </c>
      <c r="F31" s="20">
        <f>'第二部分 Financials'!F32/'第二部分 Financials'!E32-1</f>
        <v>0.25463360349207864</v>
      </c>
      <c r="G31" s="20">
        <f>'第二部分 Financials'!G32/'第二部分 Financials'!F32-1</f>
        <v>0.10593282979169594</v>
      </c>
      <c r="H31" s="20">
        <f>'第二部分 Financials'!H32/'第二部分 Financials'!G32-1</f>
        <v>0.16672469426708036</v>
      </c>
      <c r="I31" s="20">
        <f>AVERAGE(D31:H31)</f>
        <v>0.16459902595691239</v>
      </c>
    </row>
    <row r="33" spans="1:9" ht="14" x14ac:dyDescent="0.3">
      <c r="A33" s="17" t="s">
        <v>88</v>
      </c>
      <c r="B33" s="4">
        <v>40816</v>
      </c>
      <c r="C33" s="4">
        <v>41182</v>
      </c>
      <c r="D33" s="4">
        <v>41547</v>
      </c>
      <c r="E33" s="4">
        <v>41912</v>
      </c>
      <c r="F33" s="4">
        <v>42277</v>
      </c>
      <c r="G33" s="4">
        <v>42643</v>
      </c>
      <c r="H33" s="4">
        <v>43008</v>
      </c>
      <c r="I33" s="18" t="s">
        <v>61</v>
      </c>
    </row>
    <row r="34" spans="1:9" x14ac:dyDescent="0.25">
      <c r="A34" s="5" t="s">
        <v>28</v>
      </c>
      <c r="B34" s="6">
        <f>'第二部分 Financials'!B22</f>
        <v>5369</v>
      </c>
      <c r="C34" s="6">
        <f>'第二部分 Financials'!C22</f>
        <v>10930</v>
      </c>
      <c r="D34" s="6">
        <f>'第二部分 Financials'!D22</f>
        <v>13102</v>
      </c>
      <c r="E34" s="6">
        <f>'第二部分 Financials'!E22</f>
        <v>17460</v>
      </c>
      <c r="F34" s="6">
        <f>'第二部分 Financials'!F22</f>
        <v>16849</v>
      </c>
      <c r="G34" s="6">
        <f>'第二部分 Financials'!G22</f>
        <v>15754</v>
      </c>
      <c r="H34" s="6">
        <f>'第二部分 Financials'!H22</f>
        <v>17874</v>
      </c>
    </row>
    <row r="35" spans="1:9" x14ac:dyDescent="0.25">
      <c r="A35" s="5" t="s">
        <v>29</v>
      </c>
      <c r="B35" s="6">
        <f>'第二部分 Financials'!B23</f>
        <v>776</v>
      </c>
      <c r="C35" s="6">
        <f>'第二部分 Financials'!C23</f>
        <v>791</v>
      </c>
      <c r="D35" s="6">
        <f>'第二部分 Financials'!D23</f>
        <v>1764</v>
      </c>
      <c r="E35" s="6">
        <f>'第二部分 Financials'!E23</f>
        <v>2111</v>
      </c>
      <c r="F35" s="6">
        <f>'第二部分 Financials'!F23</f>
        <v>2349</v>
      </c>
      <c r="G35" s="6">
        <f>'第二部分 Financials'!G23</f>
        <v>2132</v>
      </c>
      <c r="H35" s="6">
        <f>'第二部分 Financials'!H23</f>
        <v>4855</v>
      </c>
    </row>
    <row r="36" spans="1:9" x14ac:dyDescent="0.25">
      <c r="A36" s="5" t="s">
        <v>89</v>
      </c>
      <c r="B36" s="6">
        <f>'第二部分 Financials'!B25</f>
        <v>10877</v>
      </c>
      <c r="C36" s="6">
        <f>'第二部分 Financials'!C25</f>
        <v>14220</v>
      </c>
      <c r="D36" s="6">
        <f>'第二部分 Financials'!D25</f>
        <v>14377</v>
      </c>
      <c r="E36" s="6">
        <f>'第二部分 Financials'!E25</f>
        <v>19484</v>
      </c>
      <c r="F36" s="6">
        <f>'第二部分 Financials'!F25</f>
        <v>23033</v>
      </c>
      <c r="G36" s="6">
        <f>'第二部分 Financials'!G25</f>
        <v>11813</v>
      </c>
      <c r="H36" s="6">
        <f>'第二部分 Financials'!H25</f>
        <v>22761</v>
      </c>
    </row>
    <row r="37" spans="1:9" ht="13" x14ac:dyDescent="0.3">
      <c r="A37" s="24" t="s">
        <v>90</v>
      </c>
      <c r="B37" s="25">
        <f>SUM(B34:B36)</f>
        <v>17022</v>
      </c>
      <c r="C37" s="25">
        <f t="shared" ref="C37:H37" si="2">SUM(C34:C36)</f>
        <v>25941</v>
      </c>
      <c r="D37" s="25">
        <f t="shared" si="2"/>
        <v>29243</v>
      </c>
      <c r="E37" s="25">
        <f t="shared" si="2"/>
        <v>39055</v>
      </c>
      <c r="F37" s="25">
        <f t="shared" si="2"/>
        <v>42231</v>
      </c>
      <c r="G37" s="25">
        <f t="shared" si="2"/>
        <v>29699</v>
      </c>
      <c r="H37" s="25">
        <f t="shared" si="2"/>
        <v>45490</v>
      </c>
    </row>
    <row r="38" spans="1:9" x14ac:dyDescent="0.25">
      <c r="A38" s="5" t="s">
        <v>39</v>
      </c>
      <c r="B38" s="6">
        <f>'第二部分 Financials'!B35</f>
        <v>14632</v>
      </c>
      <c r="C38" s="6">
        <f>'第二部分 Financials'!C35</f>
        <v>21175</v>
      </c>
      <c r="D38" s="6">
        <f>'第二部分 Financials'!D35</f>
        <v>22367</v>
      </c>
      <c r="E38" s="6">
        <f>'第二部分 Financials'!E35</f>
        <v>30196</v>
      </c>
      <c r="F38" s="6">
        <f>'第二部分 Financials'!F35</f>
        <v>35490</v>
      </c>
      <c r="G38" s="6">
        <f>'第二部分 Financials'!G35</f>
        <v>37294</v>
      </c>
      <c r="H38" s="6">
        <f>'第二部分 Financials'!H35</f>
        <v>49049</v>
      </c>
    </row>
    <row r="39" spans="1:9" x14ac:dyDescent="0.25">
      <c r="A39" s="5" t="s">
        <v>40</v>
      </c>
      <c r="B39" s="6">
        <f>'第二部分 Financials'!B36</f>
        <v>9247</v>
      </c>
      <c r="C39" s="6">
        <f>'第二部分 Financials'!C36</f>
        <v>11414</v>
      </c>
      <c r="D39" s="6">
        <f>'第二部分 Financials'!D36</f>
        <v>13856</v>
      </c>
      <c r="E39" s="6">
        <f>'第二部分 Financials'!E36</f>
        <v>18453</v>
      </c>
      <c r="F39" s="6">
        <f>'第二部分 Financials'!F36</f>
        <v>25181</v>
      </c>
      <c r="G39" s="6">
        <f>'第二部分 Financials'!G36</f>
        <v>22027</v>
      </c>
      <c r="H39" s="6">
        <f>'第二部分 Financials'!H36</f>
        <v>25744</v>
      </c>
    </row>
    <row r="40" spans="1:9" x14ac:dyDescent="0.25">
      <c r="A40" s="5" t="s">
        <v>91</v>
      </c>
      <c r="B40" s="6">
        <f>'第二部分 Financials'!B37</f>
        <v>4091</v>
      </c>
      <c r="C40" s="6">
        <f>'第二部分 Financials'!C37</f>
        <v>5953</v>
      </c>
      <c r="D40" s="6">
        <f>'第二部分 Financials'!D37</f>
        <v>7435</v>
      </c>
      <c r="E40" s="6">
        <f>'第二部分 Financials'!E37</f>
        <v>8491</v>
      </c>
      <c r="F40" s="6">
        <f>'第二部分 Financials'!F37</f>
        <v>8940</v>
      </c>
      <c r="G40" s="6">
        <f>'第二部分 Financials'!G37</f>
        <v>8080</v>
      </c>
      <c r="H40" s="6">
        <f>'第二部分 Financials'!H37</f>
        <v>7548</v>
      </c>
    </row>
    <row r="41" spans="1:9" ht="13" x14ac:dyDescent="0.3">
      <c r="A41" s="24" t="s">
        <v>92</v>
      </c>
      <c r="B41" s="25">
        <f>SUM(B38:B40)</f>
        <v>27970</v>
      </c>
      <c r="C41" s="25">
        <f t="shared" ref="C41:H41" si="3">SUM(C38:C40)</f>
        <v>38542</v>
      </c>
      <c r="D41" s="25">
        <f t="shared" si="3"/>
        <v>43658</v>
      </c>
      <c r="E41" s="25">
        <f t="shared" si="3"/>
        <v>57140</v>
      </c>
      <c r="F41" s="25">
        <f t="shared" si="3"/>
        <v>69611</v>
      </c>
      <c r="G41" s="25">
        <f t="shared" si="3"/>
        <v>67401</v>
      </c>
      <c r="H41" s="25">
        <f t="shared" si="3"/>
        <v>82341</v>
      </c>
    </row>
    <row r="42" spans="1:9" ht="13" x14ac:dyDescent="0.3">
      <c r="A42" s="24" t="s">
        <v>93</v>
      </c>
      <c r="B42" s="25">
        <f>B37-B41</f>
        <v>-10948</v>
      </c>
      <c r="C42" s="25">
        <f t="shared" ref="C42:H42" si="4">C37-C41</f>
        <v>-12601</v>
      </c>
      <c r="D42" s="25">
        <f t="shared" si="4"/>
        <v>-14415</v>
      </c>
      <c r="E42" s="25">
        <f t="shared" si="4"/>
        <v>-18085</v>
      </c>
      <c r="F42" s="25">
        <f t="shared" si="4"/>
        <v>-27380</v>
      </c>
      <c r="G42" s="25">
        <f t="shared" si="4"/>
        <v>-37702</v>
      </c>
      <c r="H42" s="25">
        <f t="shared" si="4"/>
        <v>-36851</v>
      </c>
    </row>
    <row r="44" spans="1:9" ht="14" x14ac:dyDescent="0.3">
      <c r="A44" s="17" t="s">
        <v>94</v>
      </c>
      <c r="B44" s="4">
        <v>40816</v>
      </c>
      <c r="C44" s="4">
        <v>41182</v>
      </c>
      <c r="D44" s="4">
        <v>41547</v>
      </c>
      <c r="E44" s="4">
        <v>41912</v>
      </c>
      <c r="F44" s="4">
        <v>42277</v>
      </c>
      <c r="G44" s="4">
        <v>42643</v>
      </c>
      <c r="H44" s="4">
        <v>43008</v>
      </c>
      <c r="I44" s="18" t="s">
        <v>61</v>
      </c>
    </row>
    <row r="45" spans="1:9" x14ac:dyDescent="0.25">
      <c r="A45" s="5" t="s">
        <v>14</v>
      </c>
      <c r="B45" s="20">
        <f>'第二部分 Financials'!B6/'第二部分 Financials'!B5</f>
        <v>0.59521104121054236</v>
      </c>
      <c r="C45" s="20">
        <f>'第二部分 Financials'!C6/'第二部分 Financials'!C5</f>
        <v>0.56128760191172333</v>
      </c>
      <c r="D45" s="20">
        <f>'第二部分 Financials'!D6/'第二部分 Financials'!D5</f>
        <v>0.62375519279152769</v>
      </c>
      <c r="E45" s="20">
        <f>'第二部分 Financials'!E6/'第二部分 Financials'!E5</f>
        <v>0.61411964222216142</v>
      </c>
      <c r="F45" s="20">
        <f>'第二部分 Financials'!F6/'第二部分 Financials'!F5</f>
        <v>0.59940097982585627</v>
      </c>
      <c r="G45" s="20">
        <f>'第二部分 Financials'!G6/'第二部分 Financials'!G5</f>
        <v>0.60924044351902951</v>
      </c>
      <c r="H45" s="20">
        <f>'第二部分 Financials'!H6/'第二部分 Financials'!H5</f>
        <v>0.6153013950810089</v>
      </c>
      <c r="I45" s="20">
        <f>AVERAGE(D45:H45)</f>
        <v>0.61236353068791671</v>
      </c>
    </row>
    <row r="46" spans="1:9" x14ac:dyDescent="0.25">
      <c r="A46" s="5" t="s">
        <v>16</v>
      </c>
      <c r="B46" s="20">
        <f>'第二部分 Financials'!B8/'第二部分 Financials'!B5</f>
        <v>7.0199262810741903E-2</v>
      </c>
      <c r="C46" s="20">
        <f>'第二部分 Financials'!C8/'第二部分 Financials'!C5</f>
        <v>6.4150075395506934E-2</v>
      </c>
      <c r="D46" s="20">
        <f>'第二部分 Financials'!D8/'第二部分 Financials'!D5</f>
        <v>6.3366684219764782E-2</v>
      </c>
      <c r="E46" s="20">
        <f>'第二部分 Financials'!E8/'第二部分 Financials'!E5</f>
        <v>6.5609015563883044E-2</v>
      </c>
      <c r="F46" s="20">
        <f>'第二部分 Financials'!F8/'第二部分 Financials'!F5</f>
        <v>6.1309714823609952E-2</v>
      </c>
      <c r="G46" s="20">
        <f>'第二部分 Financials'!G8/'第二部分 Financials'!G5</f>
        <v>6.5822972653369755E-2</v>
      </c>
      <c r="H46" s="20">
        <f>'第二部分 Financials'!H8/'第二部分 Financials'!H5</f>
        <v>6.6573893924984945E-2</v>
      </c>
      <c r="I46" s="20">
        <f t="shared" ref="I46:I50" si="5">AVERAGE(D46:H46)</f>
        <v>6.4536456237122494E-2</v>
      </c>
    </row>
    <row r="47" spans="1:9" x14ac:dyDescent="0.25">
      <c r="A47" s="5" t="s">
        <v>95</v>
      </c>
      <c r="B47" s="20">
        <f>'第二部分 Financials'!B9/'第二部分 Financials'!B5</f>
        <v>2.2439006364954873E-2</v>
      </c>
      <c r="C47" s="20">
        <f>'第二部分 Financials'!C9/'第二部分 Financials'!C5</f>
        <v>2.1602729572929181E-2</v>
      </c>
      <c r="D47" s="20">
        <f>'第二部分 Financials'!D9/'第二部分 Financials'!D5</f>
        <v>2.6183371365045931E-2</v>
      </c>
      <c r="E47" s="20">
        <f>'第二部分 Financials'!E9/'第二部分 Financials'!E5</f>
        <v>3.3047949889220163E-2</v>
      </c>
      <c r="F47" s="20">
        <f>'第二部分 Financials'!F9/'第二部分 Financials'!F5</f>
        <v>3.4516398177267184E-2</v>
      </c>
      <c r="G47" s="20">
        <f>'第二部分 Financials'!G9/'第二部分 Financials'!G5</f>
        <v>4.6582482760539605E-2</v>
      </c>
      <c r="H47" s="20">
        <f>'第二部分 Financials'!H9/'第二部分 Financials'!H5</f>
        <v>5.0520428906706681E-2</v>
      </c>
      <c r="I47" s="20">
        <f t="shared" si="5"/>
        <v>3.817012621975592E-2</v>
      </c>
    </row>
    <row r="48" spans="1:9" x14ac:dyDescent="0.25">
      <c r="A48" s="5" t="s">
        <v>96</v>
      </c>
      <c r="B48" s="20">
        <f>'第二部分 Financials'!B10/'第二部分 Financials'!B5</f>
        <v>0.31215068961376086</v>
      </c>
      <c r="C48" s="20">
        <f>'第二部分 Financials'!C10/'第二部分 Financials'!C5</f>
        <v>0.35295959311984054</v>
      </c>
      <c r="D48" s="20">
        <f>'第二部分 Financials'!D10/'第二部分 Financials'!D5</f>
        <v>0.28669475162366159</v>
      </c>
      <c r="E48" s="20">
        <f>'第二部分 Financials'!E10/'第二部分 Financials'!E5</f>
        <v>0.28722339232473537</v>
      </c>
      <c r="F48" s="20">
        <f>'第二部分 Financials'!F10/'第二部分 Financials'!F5</f>
        <v>0.30477290717326661</v>
      </c>
      <c r="G48" s="20">
        <f>'第二部分 Financials'!G10/'第二部分 Financials'!G5</f>
        <v>0.27835410106706115</v>
      </c>
      <c r="H48" s="20">
        <f>'第二部分 Financials'!H10/'第二部分 Financials'!H5</f>
        <v>0.26760428208729942</v>
      </c>
      <c r="I48" s="20">
        <f t="shared" si="5"/>
        <v>0.28492988685520482</v>
      </c>
    </row>
    <row r="49" spans="1:9" x14ac:dyDescent="0.25">
      <c r="A49" s="5" t="s">
        <v>97</v>
      </c>
      <c r="B49" s="20">
        <f>B42/'第二部分 Financials'!B5</f>
        <v>-0.10113719295328363</v>
      </c>
      <c r="C49" s="20">
        <f>C42/'第二部分 Financials'!C5</f>
        <v>-8.0513456181153673E-2</v>
      </c>
      <c r="D49" s="20">
        <f>D42/'第二部分 Financials'!D5</f>
        <v>-8.4342636475337893E-2</v>
      </c>
      <c r="E49" s="20">
        <f>E42/'第二部分 Financials'!E5</f>
        <v>-9.8935966519871993E-2</v>
      </c>
      <c r="F49" s="20">
        <f>F42/'第二部分 Financials'!F5</f>
        <v>-0.11715123120039364</v>
      </c>
      <c r="G49" s="20">
        <f>G42/'第二部分 Financials'!G5</f>
        <v>-0.17483850323920996</v>
      </c>
      <c r="H49" s="20">
        <f>H42/'第二部分 Financials'!H5</f>
        <v>-0.16075713026863381</v>
      </c>
      <c r="I49" s="20">
        <f t="shared" si="5"/>
        <v>-0.12720509354068948</v>
      </c>
    </row>
    <row r="50" spans="1:9" x14ac:dyDescent="0.25">
      <c r="A50" s="5" t="s">
        <v>98</v>
      </c>
      <c r="B50" s="20">
        <f>('第二部分 Financials'!B55)/'第二部分 Financials'!B5</f>
        <v>7.109534499163965E-2</v>
      </c>
      <c r="C50" s="20">
        <f>('第二部分 Financials'!C55)/'第二部分 Financials'!C5</f>
        <v>6.2309913870217497E-2</v>
      </c>
      <c r="D50" s="20">
        <f>('第二部分 Financials'!D55)/'第二部分 Financials'!D5</f>
        <v>5.6006085074015562E-2</v>
      </c>
      <c r="E50" s="20">
        <f>('第二部分 Financials'!E55)/'第二部分 Financials'!E5</f>
        <v>7.4279931070324684E-2</v>
      </c>
      <c r="F50" s="20">
        <f>('第二部分 Financials'!F55)/'第二部分 Financials'!F5</f>
        <v>5.0621483430674109E-2</v>
      </c>
      <c r="G50" s="20">
        <f>('第二部分 Financials'!G55)/'第二部分 Financials'!G5</f>
        <v>6.420452701042019E-2</v>
      </c>
      <c r="H50" s="20">
        <f>('第二部分 Financials'!H55)/'第二部分 Financials'!H5</f>
        <v>5.7251542092359775E-2</v>
      </c>
      <c r="I50" s="20">
        <f t="shared" si="5"/>
        <v>6.0472713735558861E-2</v>
      </c>
    </row>
    <row r="51" spans="1:9" x14ac:dyDescent="0.25">
      <c r="A51" s="5" t="s">
        <v>99</v>
      </c>
      <c r="B51" s="20">
        <f>'第二部分 Financials'!B54/'第二部分 Financials'!B5</f>
        <v>1.6757660578850614E-2</v>
      </c>
      <c r="C51" s="20">
        <f>'第二部分 Financials'!C54/'第二部分 Financials'!C5</f>
        <v>2.0938226799907991E-2</v>
      </c>
      <c r="D51" s="20">
        <f>'第二部分 Financials'!D54/'第二部分 Financials'!D5</f>
        <v>3.9535428003042536E-2</v>
      </c>
      <c r="E51" s="20">
        <f>'第二部分 Financials'!E54/'第二部分 Financials'!E5</f>
        <v>4.3469460324407121E-2</v>
      </c>
      <c r="F51" s="20">
        <f>'第二部分 Financials'!F54/'第二部分 Financials'!F5</f>
        <v>4.816550071668485E-2</v>
      </c>
      <c r="G51" s="20">
        <f>'第二部分 Financials'!G54/'第二部分 Financials'!G5</f>
        <v>4.8715677590788306E-2</v>
      </c>
      <c r="H51" s="20">
        <f>'第二部分 Financials'!H54/'第二部分 Financials'!H5</f>
        <v>4.4308435921372923E-2</v>
      </c>
      <c r="I51" s="20">
        <f>AVERAGE(D51:H51)</f>
        <v>4.4838900511259147E-2</v>
      </c>
    </row>
    <row r="53" spans="1:9" x14ac:dyDescent="0.25">
      <c r="A53" s="5" t="s">
        <v>100</v>
      </c>
    </row>
    <row r="54" spans="1:9" x14ac:dyDescent="0.25">
      <c r="A54" s="5" t="s">
        <v>101</v>
      </c>
    </row>
  </sheetData>
  <phoneticPr fontId="1" type="noConversion"/>
  <pageMargins left="0.7" right="0.7" top="0.75" bottom="0.75" header="0.3" footer="0.3"/>
  <pictur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E1BC0-31C6-495C-A3DC-BA0D35985245}">
  <dimension ref="A1:R55"/>
  <sheetViews>
    <sheetView zoomScaleNormal="100" zoomScalePageLayoutView="120" workbookViewId="0">
      <selection activeCell="E1" sqref="E1"/>
    </sheetView>
  </sheetViews>
  <sheetFormatPr defaultColWidth="8.83203125" defaultRowHeight="12.5" x14ac:dyDescent="0.25"/>
  <cols>
    <col min="1" max="1" width="4.83203125" style="26" customWidth="1"/>
    <col min="2" max="2" width="12.5" style="26" customWidth="1"/>
    <col min="3" max="3" width="4.58203125" style="26" customWidth="1"/>
    <col min="4" max="4" width="15.58203125" style="27" customWidth="1"/>
    <col min="5" max="5" width="9.58203125" style="28" customWidth="1"/>
    <col min="6" max="6" width="5.33203125" style="28" bestFit="1" customWidth="1"/>
    <col min="7" max="7" width="11.58203125" style="28" bestFit="1" customWidth="1"/>
    <col min="8" max="8" width="12.08203125" style="28" customWidth="1"/>
    <col min="9" max="9" width="9.08203125" style="28" bestFit="1" customWidth="1" collapsed="1"/>
    <col min="10" max="10" width="8.33203125" style="28" bestFit="1" customWidth="1"/>
    <col min="11" max="11" width="10.83203125" style="28" bestFit="1" customWidth="1"/>
    <col min="12" max="12" width="10.83203125" style="28" customWidth="1"/>
    <col min="13" max="13" width="12.5" style="26" customWidth="1"/>
    <col min="14" max="14" width="11.33203125" style="28" customWidth="1"/>
    <col min="15" max="15" width="11.5" style="28" bestFit="1" customWidth="1"/>
    <col min="16" max="16" width="11.58203125" style="71" bestFit="1" customWidth="1"/>
    <col min="17" max="17" width="10.5" style="26" customWidth="1"/>
    <col min="18" max="18" width="13.58203125" style="29" customWidth="1"/>
    <col min="19" max="16384" width="8.83203125" style="26"/>
  </cols>
  <sheetData>
    <row r="1" spans="1:18" x14ac:dyDescent="0.25">
      <c r="I1" s="26"/>
      <c r="J1" s="26"/>
      <c r="K1" s="26"/>
      <c r="L1" s="26"/>
      <c r="N1" s="26"/>
      <c r="O1" s="26"/>
      <c r="P1" s="26"/>
    </row>
    <row r="2" spans="1:18" ht="15.5" x14ac:dyDescent="0.35">
      <c r="B2" s="30" t="s">
        <v>102</v>
      </c>
      <c r="C2" s="30"/>
      <c r="D2" s="30"/>
      <c r="E2" s="30"/>
      <c r="F2" s="30"/>
      <c r="G2" s="30"/>
      <c r="H2" s="30"/>
      <c r="I2" s="30"/>
      <c r="J2" s="30"/>
      <c r="K2" s="30"/>
      <c r="L2" s="30"/>
      <c r="M2" s="30"/>
      <c r="N2" s="30"/>
      <c r="O2" s="30"/>
      <c r="P2" s="30"/>
    </row>
    <row r="3" spans="1:18" ht="39" x14ac:dyDescent="0.3">
      <c r="B3" s="31" t="s">
        <v>103</v>
      </c>
      <c r="C3" s="31"/>
      <c r="D3" s="32" t="s">
        <v>104</v>
      </c>
      <c r="E3" s="33" t="s">
        <v>105</v>
      </c>
      <c r="F3" s="33" t="s">
        <v>106</v>
      </c>
      <c r="G3" s="33" t="s">
        <v>107</v>
      </c>
      <c r="H3" s="33" t="s">
        <v>108</v>
      </c>
      <c r="I3" s="33" t="s">
        <v>109</v>
      </c>
      <c r="J3" s="34" t="s">
        <v>110</v>
      </c>
      <c r="K3" s="33" t="s">
        <v>111</v>
      </c>
      <c r="L3" s="33" t="s">
        <v>112</v>
      </c>
      <c r="M3" s="33" t="s">
        <v>113</v>
      </c>
      <c r="N3" s="35" t="s">
        <v>114</v>
      </c>
      <c r="O3" s="33" t="s">
        <v>115</v>
      </c>
      <c r="P3" s="36" t="s">
        <v>116</v>
      </c>
      <c r="Q3" s="37" t="s">
        <v>117</v>
      </c>
      <c r="R3" s="38" t="s">
        <v>118</v>
      </c>
    </row>
    <row r="4" spans="1:18" x14ac:dyDescent="0.25">
      <c r="A4" s="26">
        <v>1</v>
      </c>
      <c r="B4" s="26" t="s">
        <v>119</v>
      </c>
      <c r="D4" s="39" t="s">
        <v>120</v>
      </c>
      <c r="E4" s="40" t="s">
        <v>121</v>
      </c>
      <c r="F4" s="40" t="s">
        <v>122</v>
      </c>
      <c r="G4" s="41">
        <v>42983</v>
      </c>
      <c r="H4" s="40" t="s">
        <v>123</v>
      </c>
      <c r="I4" s="42">
        <v>1000</v>
      </c>
      <c r="J4" s="43">
        <v>2.1</v>
      </c>
      <c r="K4" s="41">
        <v>44816</v>
      </c>
      <c r="L4" s="44">
        <f t="shared" ref="L4:L13" si="0">(K4-G4)/365</f>
        <v>5.021917808219178</v>
      </c>
      <c r="M4" s="45">
        <f t="shared" ref="M4:M13" si="1">ROUND((K4-$E$15)/365,1)</f>
        <v>4.9000000000000004</v>
      </c>
      <c r="N4" s="46">
        <v>99.352999999999994</v>
      </c>
      <c r="O4" s="47">
        <f t="shared" ref="O4:O13" si="2">YIELD($E$15,K4,J4/100,N4,100,2,0)</f>
        <v>2.238905364821351E-2</v>
      </c>
      <c r="P4" s="48">
        <f t="shared" ref="P4:P13" si="3">(O4-VLOOKUP(ROUND(M4,0),$B$22:$D$28,3))*10000</f>
        <v>31.890536482135115</v>
      </c>
      <c r="Q4" s="49">
        <f t="shared" ref="Q4:Q13" si="4">RATE((M4*2),(J4/100*1000)/2,-N4*10,1000,0)</f>
        <v>1.1200788252249854E-2</v>
      </c>
      <c r="R4" s="50">
        <f t="shared" ref="R4:R13" si="5">Q4*2</f>
        <v>2.2401576504499709E-2</v>
      </c>
    </row>
    <row r="5" spans="1:18" x14ac:dyDescent="0.25">
      <c r="A5" s="26">
        <v>2</v>
      </c>
      <c r="B5" s="26" t="s">
        <v>119</v>
      </c>
      <c r="D5" s="39" t="s">
        <v>124</v>
      </c>
      <c r="E5" s="40" t="s">
        <v>125</v>
      </c>
      <c r="F5" s="40" t="s">
        <v>122</v>
      </c>
      <c r="G5" s="41">
        <v>42859</v>
      </c>
      <c r="H5" s="40" t="s">
        <v>123</v>
      </c>
      <c r="I5" s="42">
        <v>1750</v>
      </c>
      <c r="J5" s="43">
        <v>2.85</v>
      </c>
      <c r="K5" s="41">
        <v>45423</v>
      </c>
      <c r="L5" s="44">
        <f t="shared" si="0"/>
        <v>7.0246575342465754</v>
      </c>
      <c r="M5" s="45">
        <f t="shared" si="1"/>
        <v>6.6</v>
      </c>
      <c r="N5" s="46">
        <v>101.379</v>
      </c>
      <c r="O5" s="47">
        <f t="shared" si="2"/>
        <v>2.6210249953279415E-2</v>
      </c>
      <c r="P5" s="48">
        <f t="shared" si="3"/>
        <v>46.102499532794141</v>
      </c>
      <c r="Q5" s="49">
        <f t="shared" si="4"/>
        <v>1.3105522508891949E-2</v>
      </c>
      <c r="R5" s="50">
        <f t="shared" si="5"/>
        <v>2.6211045017783898E-2</v>
      </c>
    </row>
    <row r="6" spans="1:18" x14ac:dyDescent="0.25">
      <c r="A6" s="26">
        <v>3</v>
      </c>
      <c r="B6" s="26" t="s">
        <v>119</v>
      </c>
      <c r="D6" s="39" t="s">
        <v>126</v>
      </c>
      <c r="E6" s="40" t="s">
        <v>121</v>
      </c>
      <c r="F6" s="40" t="s">
        <v>122</v>
      </c>
      <c r="G6" s="41">
        <v>42859</v>
      </c>
      <c r="H6" s="40" t="s">
        <v>123</v>
      </c>
      <c r="I6" s="42">
        <v>2000</v>
      </c>
      <c r="J6" s="43">
        <v>3.2</v>
      </c>
      <c r="K6" s="41">
        <v>46518</v>
      </c>
      <c r="L6" s="44">
        <f t="shared" si="0"/>
        <v>10.024657534246575</v>
      </c>
      <c r="M6" s="45">
        <f t="shared" si="1"/>
        <v>9.6</v>
      </c>
      <c r="N6" s="46">
        <v>101.76</v>
      </c>
      <c r="O6" s="47">
        <f t="shared" si="2"/>
        <v>2.987631421728586E-2</v>
      </c>
      <c r="P6" s="48">
        <f t="shared" si="3"/>
        <v>65.763142172858593</v>
      </c>
      <c r="Q6" s="49">
        <f t="shared" si="4"/>
        <v>1.4938812226920254E-2</v>
      </c>
      <c r="R6" s="50">
        <f t="shared" si="5"/>
        <v>2.9877624453840509E-2</v>
      </c>
    </row>
    <row r="7" spans="1:18" x14ac:dyDescent="0.25">
      <c r="A7" s="26">
        <v>4</v>
      </c>
      <c r="B7" s="26" t="s">
        <v>119</v>
      </c>
      <c r="D7" s="39" t="s">
        <v>127</v>
      </c>
      <c r="E7" s="40" t="s">
        <v>128</v>
      </c>
      <c r="F7" s="40" t="s">
        <v>122</v>
      </c>
      <c r="G7" s="41">
        <v>42899</v>
      </c>
      <c r="H7" s="40" t="s">
        <v>123</v>
      </c>
      <c r="I7" s="42">
        <v>1000</v>
      </c>
      <c r="J7" s="43">
        <v>3</v>
      </c>
      <c r="K7" s="41">
        <v>46558</v>
      </c>
      <c r="L7" s="44">
        <f t="shared" si="0"/>
        <v>10.024657534246575</v>
      </c>
      <c r="M7" s="45">
        <f t="shared" si="1"/>
        <v>9.6999999999999993</v>
      </c>
      <c r="N7" s="46">
        <v>100.541</v>
      </c>
      <c r="O7" s="47">
        <f t="shared" si="2"/>
        <v>2.9352662917931958E-2</v>
      </c>
      <c r="P7" s="48">
        <f t="shared" si="3"/>
        <v>60.526629179319563</v>
      </c>
      <c r="Q7" s="49">
        <f t="shared" si="4"/>
        <v>1.4677521759912592E-2</v>
      </c>
      <c r="R7" s="50">
        <f t="shared" si="5"/>
        <v>2.9355043519825184E-2</v>
      </c>
    </row>
    <row r="8" spans="1:18" x14ac:dyDescent="0.25">
      <c r="A8" s="26">
        <v>5</v>
      </c>
      <c r="B8" s="26" t="s">
        <v>119</v>
      </c>
      <c r="D8" s="51" t="s">
        <v>127</v>
      </c>
      <c r="E8" s="40" t="s">
        <v>121</v>
      </c>
      <c r="F8" s="40" t="s">
        <v>122</v>
      </c>
      <c r="G8" s="41">
        <v>42899</v>
      </c>
      <c r="H8" s="40" t="s">
        <v>123</v>
      </c>
      <c r="I8" s="42">
        <v>1000</v>
      </c>
      <c r="J8" s="43">
        <v>3</v>
      </c>
      <c r="K8" s="41">
        <v>46558</v>
      </c>
      <c r="L8" s="44">
        <f t="shared" si="0"/>
        <v>10.024657534246575</v>
      </c>
      <c r="M8" s="45">
        <f t="shared" si="1"/>
        <v>9.6999999999999993</v>
      </c>
      <c r="N8" s="46">
        <v>100.13</v>
      </c>
      <c r="O8" s="47">
        <f t="shared" si="2"/>
        <v>2.9841602762578297E-2</v>
      </c>
      <c r="P8" s="48">
        <f t="shared" si="3"/>
        <v>65.416027625782959</v>
      </c>
      <c r="Q8" s="49">
        <f t="shared" si="4"/>
        <v>1.4922327542221794E-2</v>
      </c>
      <c r="R8" s="50">
        <f t="shared" si="5"/>
        <v>2.9844655084443589E-2</v>
      </c>
    </row>
    <row r="9" spans="1:18" x14ac:dyDescent="0.25">
      <c r="A9" s="26">
        <v>6</v>
      </c>
      <c r="B9" s="26" t="s">
        <v>119</v>
      </c>
      <c r="D9" s="39" t="s">
        <v>129</v>
      </c>
      <c r="E9" s="40" t="s">
        <v>121</v>
      </c>
      <c r="F9" s="40" t="s">
        <v>122</v>
      </c>
      <c r="G9" s="41">
        <v>42983</v>
      </c>
      <c r="H9" s="40" t="s">
        <v>123</v>
      </c>
      <c r="I9" s="42">
        <v>2000</v>
      </c>
      <c r="J9" s="43">
        <v>2.9</v>
      </c>
      <c r="K9" s="41">
        <v>46642</v>
      </c>
      <c r="L9" s="44">
        <f t="shared" si="0"/>
        <v>10.024657534246575</v>
      </c>
      <c r="M9" s="45">
        <f t="shared" si="1"/>
        <v>9.9</v>
      </c>
      <c r="N9" s="46">
        <v>99.129000000000005</v>
      </c>
      <c r="O9" s="47">
        <f t="shared" si="2"/>
        <v>3.0018543839767702E-2</v>
      </c>
      <c r="P9" s="48">
        <f t="shared" si="3"/>
        <v>67.185438397677004</v>
      </c>
      <c r="Q9" s="49">
        <f t="shared" si="4"/>
        <v>1.5011778866171759E-2</v>
      </c>
      <c r="R9" s="50">
        <f t="shared" si="5"/>
        <v>3.0023557732343518E-2</v>
      </c>
    </row>
    <row r="10" spans="1:18" x14ac:dyDescent="0.25">
      <c r="A10" s="26">
        <v>7</v>
      </c>
      <c r="B10" s="26" t="s">
        <v>119</v>
      </c>
      <c r="D10" s="39" t="s">
        <v>130</v>
      </c>
      <c r="E10" s="40" t="s">
        <v>121</v>
      </c>
      <c r="F10" s="40" t="s">
        <v>122</v>
      </c>
      <c r="G10" s="41">
        <v>42416</v>
      </c>
      <c r="H10" s="40" t="s">
        <v>131</v>
      </c>
      <c r="I10" s="42">
        <v>1250</v>
      </c>
      <c r="J10" s="43">
        <v>4.5</v>
      </c>
      <c r="K10" s="41">
        <v>49728</v>
      </c>
      <c r="L10" s="44">
        <f t="shared" si="0"/>
        <v>20.032876712328768</v>
      </c>
      <c r="M10" s="45">
        <f t="shared" si="1"/>
        <v>18.399999999999999</v>
      </c>
      <c r="N10" s="52">
        <v>112.357</v>
      </c>
      <c r="O10" s="47">
        <f t="shared" si="2"/>
        <v>3.5769246349455233E-2</v>
      </c>
      <c r="P10" s="48">
        <f t="shared" si="3"/>
        <v>124.69246349455231</v>
      </c>
      <c r="Q10" s="49">
        <f t="shared" si="4"/>
        <v>1.7887651952921857E-2</v>
      </c>
      <c r="R10" s="50">
        <f t="shared" si="5"/>
        <v>3.5775303905843714E-2</v>
      </c>
    </row>
    <row r="11" spans="1:18" x14ac:dyDescent="0.25">
      <c r="A11" s="26">
        <v>8</v>
      </c>
      <c r="B11" s="26" t="s">
        <v>119</v>
      </c>
      <c r="D11" s="39" t="s">
        <v>132</v>
      </c>
      <c r="E11" s="40" t="s">
        <v>121</v>
      </c>
      <c r="F11" s="40" t="s">
        <v>122</v>
      </c>
      <c r="G11" s="41">
        <v>42579</v>
      </c>
      <c r="H11" s="40" t="s">
        <v>123</v>
      </c>
      <c r="I11" s="42">
        <v>2000</v>
      </c>
      <c r="J11" s="43">
        <v>3.85</v>
      </c>
      <c r="K11" s="41">
        <v>53543</v>
      </c>
      <c r="L11" s="44">
        <f t="shared" si="0"/>
        <v>30.038356164383561</v>
      </c>
      <c r="M11" s="45">
        <f t="shared" si="1"/>
        <v>28.9</v>
      </c>
      <c r="N11" s="52">
        <v>101.18899999999999</v>
      </c>
      <c r="O11" s="47">
        <f t="shared" si="2"/>
        <v>3.7816976185930794E-2</v>
      </c>
      <c r="P11" s="48">
        <f t="shared" si="3"/>
        <v>115.16976185930794</v>
      </c>
      <c r="Q11" s="49">
        <f t="shared" si="4"/>
        <v>1.8910029340896584E-2</v>
      </c>
      <c r="R11" s="50">
        <f t="shared" si="5"/>
        <v>3.7820058681793167E-2</v>
      </c>
    </row>
    <row r="12" spans="1:18" x14ac:dyDescent="0.25">
      <c r="A12" s="26">
        <v>9</v>
      </c>
      <c r="B12" s="26" t="s">
        <v>119</v>
      </c>
      <c r="D12" s="39" t="s">
        <v>133</v>
      </c>
      <c r="E12" s="40" t="s">
        <v>121</v>
      </c>
      <c r="F12" s="40" t="s">
        <v>122</v>
      </c>
      <c r="G12" s="41">
        <v>42768</v>
      </c>
      <c r="H12" s="40" t="s">
        <v>123</v>
      </c>
      <c r="I12" s="42">
        <v>1000</v>
      </c>
      <c r="J12" s="43">
        <v>4.25</v>
      </c>
      <c r="K12" s="41">
        <v>53732</v>
      </c>
      <c r="L12" s="44">
        <f t="shared" si="0"/>
        <v>30.038356164383561</v>
      </c>
      <c r="M12" s="45">
        <f t="shared" si="1"/>
        <v>29.4</v>
      </c>
      <c r="N12" s="52">
        <v>107.473</v>
      </c>
      <c r="O12" s="47">
        <f t="shared" si="2"/>
        <v>3.8238927400322774E-2</v>
      </c>
      <c r="P12" s="48">
        <f t="shared" si="3"/>
        <v>119.38927400322774</v>
      </c>
      <c r="Q12" s="49">
        <f t="shared" si="4"/>
        <v>1.9122484933839307E-2</v>
      </c>
      <c r="R12" s="50">
        <f t="shared" si="5"/>
        <v>3.8244969867678613E-2</v>
      </c>
    </row>
    <row r="13" spans="1:18" x14ac:dyDescent="0.25">
      <c r="A13" s="26">
        <v>10</v>
      </c>
      <c r="B13" s="26" t="s">
        <v>119</v>
      </c>
      <c r="D13" s="51" t="s">
        <v>134</v>
      </c>
      <c r="E13" s="40" t="s">
        <v>121</v>
      </c>
      <c r="F13" s="40" t="s">
        <v>122</v>
      </c>
      <c r="G13" s="41">
        <v>42983</v>
      </c>
      <c r="H13" s="40" t="s">
        <v>123</v>
      </c>
      <c r="I13" s="42">
        <v>1000</v>
      </c>
      <c r="J13" s="43">
        <v>3.75</v>
      </c>
      <c r="K13" s="41">
        <v>53947</v>
      </c>
      <c r="L13" s="44">
        <f t="shared" si="0"/>
        <v>30.038356164383561</v>
      </c>
      <c r="M13" s="45">
        <f t="shared" si="1"/>
        <v>30</v>
      </c>
      <c r="N13" s="46">
        <v>99.41</v>
      </c>
      <c r="O13" s="47">
        <f t="shared" si="2"/>
        <v>3.7829938547513237E-2</v>
      </c>
      <c r="P13" s="48">
        <f t="shared" si="3"/>
        <v>92.299385475132368</v>
      </c>
      <c r="Q13" s="49">
        <f t="shared" si="4"/>
        <v>1.8915302893262455E-2</v>
      </c>
      <c r="R13" s="50">
        <f t="shared" si="5"/>
        <v>3.7830605786524911E-2</v>
      </c>
    </row>
    <row r="14" spans="1:18" ht="6.75" customHeight="1" x14ac:dyDescent="0.3">
      <c r="B14" s="53"/>
      <c r="C14" s="53"/>
      <c r="D14" s="54"/>
      <c r="E14" s="55"/>
      <c r="F14" s="55"/>
      <c r="G14" s="56"/>
      <c r="H14" s="55"/>
      <c r="I14" s="57"/>
      <c r="J14" s="58"/>
      <c r="K14" s="56"/>
      <c r="L14" s="59"/>
      <c r="M14" s="60"/>
      <c r="N14" s="61"/>
      <c r="O14" s="62"/>
      <c r="P14" s="63"/>
      <c r="Q14" s="49"/>
      <c r="R14" s="50"/>
    </row>
    <row r="15" spans="1:18" x14ac:dyDescent="0.25">
      <c r="B15" s="26" t="s">
        <v>135</v>
      </c>
      <c r="D15" s="26"/>
      <c r="E15" s="227">
        <v>43011</v>
      </c>
      <c r="F15" s="227"/>
      <c r="G15" s="26"/>
      <c r="H15" s="40"/>
      <c r="I15" s="42"/>
      <c r="J15" s="43"/>
      <c r="K15" s="41"/>
      <c r="L15" s="44"/>
      <c r="M15" s="45"/>
      <c r="N15" s="64"/>
      <c r="O15" s="47"/>
      <c r="P15" s="44"/>
    </row>
    <row r="16" spans="1:18" x14ac:dyDescent="0.25">
      <c r="B16" s="27" t="s">
        <v>136</v>
      </c>
      <c r="C16" s="27"/>
      <c r="D16" s="26"/>
      <c r="E16" s="26"/>
      <c r="O16" s="65" t="s">
        <v>137</v>
      </c>
      <c r="P16" s="66">
        <f>AVERAGE(R11:R13)</f>
        <v>3.7965211445332235E-2</v>
      </c>
    </row>
    <row r="17" spans="1:18" x14ac:dyDescent="0.25">
      <c r="B17" s="67" t="s">
        <v>138</v>
      </c>
      <c r="C17" s="67"/>
      <c r="O17" s="65" t="s">
        <v>139</v>
      </c>
      <c r="P17" s="66">
        <f>D28</f>
        <v>2.86E-2</v>
      </c>
    </row>
    <row r="18" spans="1:18" x14ac:dyDescent="0.25">
      <c r="O18" s="65" t="s">
        <v>140</v>
      </c>
      <c r="P18" s="68">
        <f>(P16-P17)*10000</f>
        <v>93.652114453322341</v>
      </c>
    </row>
    <row r="19" spans="1:18" ht="15.5" x14ac:dyDescent="0.35">
      <c r="B19" s="69" t="s">
        <v>141</v>
      </c>
      <c r="C19" s="69"/>
      <c r="D19" s="69"/>
      <c r="E19" s="69"/>
      <c r="F19" s="70"/>
      <c r="G19" s="70"/>
      <c r="H19" s="70"/>
      <c r="I19" s="70"/>
      <c r="J19" s="70"/>
      <c r="K19" s="70"/>
      <c r="L19" s="70"/>
      <c r="M19" s="70"/>
      <c r="N19" s="70"/>
    </row>
    <row r="20" spans="1:18" s="74" customFormat="1" ht="15.5" x14ac:dyDescent="0.35">
      <c r="A20" s="72"/>
      <c r="B20" s="69" t="s">
        <v>142</v>
      </c>
      <c r="C20" s="69"/>
      <c r="D20" s="69"/>
      <c r="E20" s="69"/>
      <c r="F20" s="73"/>
      <c r="G20" s="73"/>
      <c r="H20" s="73"/>
      <c r="I20" s="73"/>
      <c r="J20" s="73"/>
      <c r="K20" s="73"/>
      <c r="L20" s="73"/>
      <c r="M20" s="73"/>
      <c r="R20" s="75"/>
    </row>
    <row r="21" spans="1:18" ht="13" x14ac:dyDescent="0.3">
      <c r="B21" s="76" t="s">
        <v>143</v>
      </c>
      <c r="C21" s="77"/>
      <c r="D21" s="78" t="s">
        <v>144</v>
      </c>
      <c r="E21" s="26"/>
      <c r="H21" s="26"/>
    </row>
    <row r="22" spans="1:18" s="28" customFormat="1" x14ac:dyDescent="0.25">
      <c r="A22" s="26"/>
      <c r="B22" s="28">
        <v>2</v>
      </c>
      <c r="C22" s="26" t="s">
        <v>145</v>
      </c>
      <c r="D22" s="66">
        <v>1.47E-2</v>
      </c>
      <c r="E22" s="49"/>
      <c r="M22" s="26"/>
      <c r="P22" s="71"/>
      <c r="Q22" s="26"/>
      <c r="R22" s="29"/>
    </row>
    <row r="23" spans="1:18" s="28" customFormat="1" x14ac:dyDescent="0.25">
      <c r="A23" s="26"/>
      <c r="B23" s="28">
        <v>3</v>
      </c>
      <c r="C23" s="26" t="s">
        <v>145</v>
      </c>
      <c r="D23" s="66">
        <v>1.6200000000000003E-2</v>
      </c>
      <c r="E23" s="49"/>
      <c r="M23" s="26"/>
      <c r="P23" s="71"/>
      <c r="Q23" s="26"/>
      <c r="R23" s="29"/>
    </row>
    <row r="24" spans="1:18" s="28" customFormat="1" x14ac:dyDescent="0.25">
      <c r="A24" s="26"/>
      <c r="B24" s="28">
        <v>5</v>
      </c>
      <c r="C24" s="26" t="s">
        <v>145</v>
      </c>
      <c r="D24" s="66">
        <v>1.9199999999999998E-2</v>
      </c>
      <c r="E24" s="49"/>
      <c r="M24" s="26"/>
      <c r="P24" s="71"/>
      <c r="Q24" s="26"/>
      <c r="R24" s="29"/>
    </row>
    <row r="25" spans="1:18" s="28" customFormat="1" x14ac:dyDescent="0.25">
      <c r="A25" s="26"/>
      <c r="B25" s="28">
        <v>6</v>
      </c>
      <c r="C25" s="26" t="s">
        <v>145</v>
      </c>
      <c r="D25" s="66">
        <v>2.1600000000000001E-2</v>
      </c>
      <c r="E25" s="49"/>
      <c r="M25" s="26"/>
      <c r="P25" s="71"/>
      <c r="Q25" s="26"/>
      <c r="R25" s="29"/>
    </row>
    <row r="26" spans="1:18" s="28" customFormat="1" x14ac:dyDescent="0.25">
      <c r="A26" s="26"/>
      <c r="B26" s="28">
        <v>10</v>
      </c>
      <c r="C26" s="26" t="s">
        <v>145</v>
      </c>
      <c r="D26" s="66">
        <v>2.3300000000000001E-2</v>
      </c>
      <c r="E26" s="49"/>
      <c r="M26" s="26"/>
      <c r="P26" s="71"/>
      <c r="Q26" s="26"/>
      <c r="R26" s="29"/>
    </row>
    <row r="27" spans="1:18" s="28" customFormat="1" x14ac:dyDescent="0.25">
      <c r="A27" s="26"/>
      <c r="B27" s="28">
        <v>20</v>
      </c>
      <c r="C27" s="26" t="s">
        <v>145</v>
      </c>
      <c r="D27" s="66">
        <v>2.63E-2</v>
      </c>
      <c r="E27" s="49"/>
      <c r="M27" s="26"/>
      <c r="P27" s="71"/>
      <c r="Q27" s="26"/>
      <c r="R27" s="29"/>
    </row>
    <row r="28" spans="1:18" s="28" customFormat="1" x14ac:dyDescent="0.25">
      <c r="A28" s="26"/>
      <c r="B28" s="79">
        <v>30</v>
      </c>
      <c r="C28" s="53" t="s">
        <v>145</v>
      </c>
      <c r="D28" s="80">
        <v>2.86E-2</v>
      </c>
      <c r="E28" s="49"/>
      <c r="M28" s="26"/>
      <c r="P28" s="71"/>
      <c r="Q28" s="26"/>
      <c r="R28" s="29"/>
    </row>
    <row r="29" spans="1:18" s="74" customFormat="1" x14ac:dyDescent="0.25">
      <c r="A29" s="72"/>
      <c r="B29" s="67"/>
      <c r="C29" s="67"/>
      <c r="D29" s="73"/>
      <c r="E29" s="73"/>
      <c r="F29" s="73"/>
      <c r="G29" s="73"/>
      <c r="H29" s="73"/>
      <c r="I29" s="73"/>
      <c r="J29" s="73"/>
      <c r="K29" s="73"/>
      <c r="L29" s="73"/>
      <c r="M29" s="73"/>
      <c r="R29" s="75"/>
    </row>
    <row r="30" spans="1:18" x14ac:dyDescent="0.25">
      <c r="B30" s="67" t="s">
        <v>146</v>
      </c>
      <c r="C30" s="67"/>
    </row>
    <row r="32" spans="1:18" ht="15" customHeight="1" x14ac:dyDescent="0.25">
      <c r="B32" s="228" t="s">
        <v>147</v>
      </c>
      <c r="C32" s="228"/>
      <c r="D32" s="228"/>
      <c r="E32" s="228"/>
      <c r="F32" s="228"/>
      <c r="G32" s="228"/>
      <c r="H32" s="228"/>
      <c r="I32" s="228"/>
      <c r="J32" s="228"/>
      <c r="K32" s="228"/>
    </row>
    <row r="33" spans="2:11" ht="13.5" thickBot="1" x14ac:dyDescent="0.3">
      <c r="B33" s="81"/>
      <c r="C33" s="81"/>
      <c r="D33" s="81"/>
      <c r="E33" s="81"/>
      <c r="F33" s="81"/>
      <c r="G33" s="81"/>
      <c r="H33" s="81"/>
      <c r="I33" s="81"/>
    </row>
    <row r="34" spans="2:11" ht="13.5" thickBot="1" x14ac:dyDescent="0.35">
      <c r="B34" s="82"/>
      <c r="C34" s="82"/>
      <c r="D34" s="82"/>
      <c r="E34" s="83"/>
      <c r="F34" s="83"/>
      <c r="G34" s="84" t="s">
        <v>148</v>
      </c>
      <c r="H34" s="84" t="s">
        <v>149</v>
      </c>
      <c r="I34" s="84" t="s">
        <v>150</v>
      </c>
      <c r="J34" s="84" t="s">
        <v>151</v>
      </c>
      <c r="K34" s="84" t="s">
        <v>152</v>
      </c>
    </row>
    <row r="35" spans="2:11" x14ac:dyDescent="0.25">
      <c r="B35" s="5"/>
      <c r="C35" s="5"/>
      <c r="D35" s="5"/>
      <c r="G35" s="22"/>
      <c r="H35" s="22"/>
      <c r="I35" s="22"/>
      <c r="J35" s="22"/>
      <c r="K35" s="22"/>
    </row>
    <row r="36" spans="2:11" x14ac:dyDescent="0.25">
      <c r="B36" s="5" t="s">
        <v>153</v>
      </c>
      <c r="C36" s="5"/>
      <c r="D36" s="5"/>
      <c r="G36" s="85">
        <v>14.79999999999999</v>
      </c>
      <c r="H36" s="85">
        <v>11.800000000000011</v>
      </c>
      <c r="I36" s="85">
        <v>38.299999999999976</v>
      </c>
      <c r="J36" s="85">
        <v>71.200000000000017</v>
      </c>
      <c r="K36" s="85">
        <v>93.099999999999966</v>
      </c>
    </row>
    <row r="37" spans="2:11" x14ac:dyDescent="0.25">
      <c r="B37" s="5" t="s">
        <v>154</v>
      </c>
      <c r="C37" s="5"/>
      <c r="D37" s="5"/>
      <c r="G37" s="85">
        <v>22.199999999999996</v>
      </c>
      <c r="H37" s="85">
        <v>19.300000000000004</v>
      </c>
      <c r="I37" s="85">
        <v>42.900000000000006</v>
      </c>
      <c r="J37" s="85">
        <v>73.200000000000017</v>
      </c>
      <c r="K37" s="85">
        <v>95.099999999999966</v>
      </c>
    </row>
    <row r="38" spans="2:11" x14ac:dyDescent="0.25">
      <c r="B38" s="5" t="s">
        <v>155</v>
      </c>
      <c r="C38" s="5"/>
      <c r="D38" s="5"/>
      <c r="G38" s="85">
        <v>23.4</v>
      </c>
      <c r="H38" s="85">
        <v>20.500000000000007</v>
      </c>
      <c r="I38" s="85">
        <v>42.900000000000006</v>
      </c>
      <c r="J38" s="85">
        <v>75.200000000000017</v>
      </c>
      <c r="K38" s="85">
        <v>97.099999999999966</v>
      </c>
    </row>
    <row r="39" spans="2:11" x14ac:dyDescent="0.25">
      <c r="B39" s="5"/>
      <c r="C39" s="22"/>
      <c r="D39" s="22"/>
      <c r="E39" s="22"/>
      <c r="F39" s="22"/>
      <c r="G39" s="22"/>
      <c r="H39" s="22"/>
      <c r="I39" s="86"/>
    </row>
    <row r="40" spans="2:11" ht="13" x14ac:dyDescent="0.3">
      <c r="B40" s="5" t="s">
        <v>156</v>
      </c>
      <c r="C40" s="22"/>
      <c r="D40" s="22"/>
      <c r="E40" s="22"/>
      <c r="F40" s="22"/>
      <c r="G40" s="22"/>
      <c r="H40" s="22"/>
      <c r="I40" s="86"/>
    </row>
    <row r="55" ht="16.5" customHeight="1" x14ac:dyDescent="0.25"/>
  </sheetData>
  <mergeCells count="2">
    <mergeCell ref="E15:F15"/>
    <mergeCell ref="B32:K32"/>
  </mergeCells>
  <phoneticPr fontId="1" type="noConversion"/>
  <hyperlinks>
    <hyperlink ref="B17" r:id="rId1" xr:uid="{B242555A-8652-4D96-ADC0-2F364FD42634}"/>
    <hyperlink ref="B30" r:id="rId2" xr:uid="{3A8FD275-B339-4822-B08C-0B6115402F6F}"/>
  </hyperlinks>
  <pageMargins left="0.7" right="0.7" top="0.75" bottom="0.75" header="0.3" footer="0.3"/>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7B74-2C69-445C-A13C-06EC74A47905}">
  <dimension ref="A1"/>
  <sheetViews>
    <sheetView workbookViewId="0">
      <selection activeCell="N34" sqref="N34"/>
    </sheetView>
  </sheetViews>
  <sheetFormatPr defaultColWidth="8.83203125" defaultRowHeight="14" x14ac:dyDescent="0.3"/>
  <cols>
    <col min="1" max="1" width="28.33203125" customWidth="1"/>
  </cols>
  <sheetData/>
  <phoneticPr fontId="1" type="noConversion"/>
  <pageMargins left="0.7" right="0.7" top="0.75" bottom="0.75" header="0.3" footer="0.3"/>
  <drawing r:id="rId1"/>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11901-E8E3-45B4-BF30-6FECBB4B8E20}">
  <dimension ref="A1:F6"/>
  <sheetViews>
    <sheetView workbookViewId="0">
      <selection activeCell="E1" sqref="E1"/>
    </sheetView>
  </sheetViews>
  <sheetFormatPr defaultColWidth="9.08203125" defaultRowHeight="14" x14ac:dyDescent="0.3"/>
  <cols>
    <col min="1" max="1" width="40.83203125" style="89" customWidth="1"/>
    <col min="2" max="2" width="17.83203125" style="89" customWidth="1"/>
    <col min="3" max="3" width="22.5" style="89" customWidth="1"/>
    <col min="4" max="4" width="21.5" style="89" customWidth="1"/>
    <col min="5" max="5" width="13.58203125" style="89" customWidth="1"/>
    <col min="6" max="6" width="19" style="89" customWidth="1"/>
    <col min="7" max="16384" width="9.08203125" style="89"/>
  </cols>
  <sheetData>
    <row r="1" spans="1:6" ht="28" x14ac:dyDescent="0.3">
      <c r="A1" s="87" t="s">
        <v>157</v>
      </c>
      <c r="B1" s="88" t="s">
        <v>158</v>
      </c>
      <c r="C1" s="88" t="s">
        <v>159</v>
      </c>
      <c r="D1" s="88" t="s">
        <v>160</v>
      </c>
      <c r="E1" s="88" t="s">
        <v>161</v>
      </c>
      <c r="F1" s="88" t="s">
        <v>162</v>
      </c>
    </row>
    <row r="2" spans="1:6" x14ac:dyDescent="0.3">
      <c r="A2" s="90" t="s">
        <v>163</v>
      </c>
      <c r="B2" s="91">
        <v>19.96</v>
      </c>
      <c r="C2" s="92">
        <v>1678.2</v>
      </c>
      <c r="D2" s="92">
        <v>33496.199999999997</v>
      </c>
      <c r="E2" s="92">
        <v>7806</v>
      </c>
      <c r="F2" s="92">
        <v>1.421</v>
      </c>
    </row>
    <row r="3" spans="1:6" x14ac:dyDescent="0.3">
      <c r="A3" s="90" t="s">
        <v>164</v>
      </c>
      <c r="B3" s="91">
        <v>33.630000000000003</v>
      </c>
      <c r="C3" s="92">
        <v>4961.8</v>
      </c>
      <c r="D3" s="92">
        <v>166864</v>
      </c>
      <c r="E3" s="92">
        <v>33717</v>
      </c>
      <c r="F3" s="92">
        <v>1.2669999999999999</v>
      </c>
    </row>
    <row r="4" spans="1:6" x14ac:dyDescent="0.3">
      <c r="A4" s="93"/>
      <c r="B4" s="93"/>
      <c r="C4" s="93" t="s">
        <v>165</v>
      </c>
      <c r="D4" s="93"/>
      <c r="E4" s="93"/>
      <c r="F4" s="93"/>
    </row>
    <row r="6" spans="1:6" x14ac:dyDescent="0.3">
      <c r="A6" s="89" t="s">
        <v>166</v>
      </c>
    </row>
  </sheetData>
  <phoneticPr fontId="1" type="noConversion"/>
  <pageMargins left="0.7" right="0.7" top="0.75" bottom="0.75" header="0.3" footer="0.3"/>
  <pictur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文档" ma:contentTypeID="0x01010024B5F89BF34FBD4E8EF101FF7297D7D9" ma:contentTypeVersion="11" ma:contentTypeDescription="新建文档。" ma:contentTypeScope="" ma:versionID="eae600e649f5a392cf3f6c286028033c">
  <xsd:schema xmlns:xsd="http://www.w3.org/2001/XMLSchema" xmlns:xs="http://www.w3.org/2001/XMLSchema" xmlns:p="http://schemas.microsoft.com/office/2006/metadata/properties" xmlns:ns2="ce848b5b-8a72-4133-8e67-315596dcdd79" xmlns:ns3="67cfa7bb-5f06-4337-ba61-dfacd0756620" targetNamespace="http://schemas.microsoft.com/office/2006/metadata/properties" ma:root="true" ma:fieldsID="767e8ec62c0f2f94f58e1bc1043f36e6" ns2:_="" ns3:_="">
    <xsd:import namespace="ce848b5b-8a72-4133-8e67-315596dcdd79"/>
    <xsd:import namespace="67cfa7bb-5f06-4337-ba61-dfacd07566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848b5b-8a72-4133-8e67-315596dcdd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cfa7bb-5f06-4337-ba61-dfacd0756620" elementFormDefault="qualified">
    <xsd:import namespace="http://schemas.microsoft.com/office/2006/documentManagement/types"/>
    <xsd:import namespace="http://schemas.microsoft.com/office/infopath/2007/PartnerControls"/>
    <xsd:element name="SharedWithUsers" ma:index="16"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享对象详细信息"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8A182E-FAD6-4B86-BB34-6C6B409ADBD4}">
  <ds:schemaRef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ce848b5b-8a72-4133-8e67-315596dcdd79"/>
    <ds:schemaRef ds:uri="http://www.w3.org/XML/1998/namespace"/>
    <ds:schemaRef ds:uri="http://purl.org/dc/terms/"/>
  </ds:schemaRefs>
</ds:datastoreItem>
</file>

<file path=customXml/itemProps2.xml><?xml version="1.0" encoding="utf-8"?>
<ds:datastoreItem xmlns:ds="http://schemas.openxmlformats.org/officeDocument/2006/customXml" ds:itemID="{B147569B-9B8C-437F-9618-2E4DE805E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848b5b-8a72-4133-8e67-315596dcdd79"/>
    <ds:schemaRef ds:uri="67cfa7bb-5f06-4337-ba61-dfacd07566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5619A9-26DC-495F-83D7-198629870C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说明</vt:lpstr>
      <vt:lpstr>第一部分 Excel函数 </vt:lpstr>
      <vt:lpstr>第二部分 Apple Valuation Case</vt:lpstr>
      <vt:lpstr>第二部分 答题区</vt:lpstr>
      <vt:lpstr>第二部分 Financials</vt:lpstr>
      <vt:lpstr>第二部分 Ratios</vt:lpstr>
      <vt:lpstr>第二部分 Debt</vt:lpstr>
      <vt:lpstr>第二部分 Beta</vt:lpstr>
      <vt:lpstr>第二部分 Peers</vt:lpstr>
      <vt:lpstr>第二部分 Forecasts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2021-10-26T11:21:20Z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0x01010024B5F89BF34FBD4E8EF101FF7297D7D9</vt:lpwstr>
  </property>
  <property fmtid="{D5CDD505-2E9C-101B-9397-08002B2CF9AE}" pid="3" name="AuthorIds_UIVersion_13824">
    <vt:lpwstr>19</vt:lpwstr>
  </property>
</Properties>
</file>